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2"/>
  <workbookPr/>
  <mc:AlternateContent xmlns:mc="http://schemas.openxmlformats.org/markup-compatibility/2006">
    <mc:Choice Requires="x15">
      <x15ac:absPath xmlns:x15ac="http://schemas.microsoft.com/office/spreadsheetml/2010/11/ac" url="https://jpl365prod.sharepoint.com/sites/PPGuidebookMarsSmallMissions/Shared Documents/Files/Handbook Work In Progress/"/>
    </mc:Choice>
  </mc:AlternateContent>
  <xr:revisionPtr revIDLastSave="1128" documentId="13_ncr:1_{A1007FE3-301C-4589-9E62-AE771BB9149A}" xr6:coauthVersionLast="47" xr6:coauthVersionMax="47" xr10:uidLastSave="{314F8D35-65F9-4D59-A00F-461033B1295E}"/>
  <bookViews>
    <workbookView xWindow="0" yWindow="660" windowWidth="30240" windowHeight="17300" activeTab="3" xr2:uid="{B7C40A2C-4D55-485C-AC22-088068776A60}"/>
  </bookViews>
  <sheets>
    <sheet name="PPEL Template" sheetId="8" r:id="rId1"/>
    <sheet name="PPEL Example 1" sheetId="2" r:id="rId2"/>
    <sheet name="PPEL Example 2" sheetId="6" r:id="rId3"/>
    <sheet name="PPEL Example 3" sheetId="5" r:id="rId4"/>
    <sheet name="Environment Options" sheetId="9"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8" l="1"/>
  <c r="E6" i="8"/>
  <c r="E7" i="8"/>
  <c r="E8" i="8"/>
  <c r="E9" i="8"/>
  <c r="E10" i="8"/>
  <c r="E11" i="8"/>
  <c r="E12" i="8"/>
  <c r="E13" i="8"/>
  <c r="E14" i="8"/>
  <c r="E15" i="8"/>
  <c r="E16" i="8"/>
  <c r="E17" i="8"/>
  <c r="E18" i="8"/>
  <c r="E19" i="8"/>
  <c r="E20" i="8"/>
  <c r="E21" i="8"/>
  <c r="E22" i="8"/>
  <c r="E23" i="8"/>
  <c r="E24" i="8"/>
  <c r="E25" i="8"/>
  <c r="E26" i="8"/>
  <c r="E27" i="8"/>
  <c r="E5" i="8"/>
  <c r="G26" i="8"/>
  <c r="I26" i="8" s="1"/>
  <c r="G25" i="8"/>
  <c r="I25" i="8" s="1"/>
  <c r="G24" i="8"/>
  <c r="I24" i="8" s="1"/>
  <c r="G23" i="8"/>
  <c r="I23" i="8" s="1"/>
  <c r="G22" i="8"/>
  <c r="I22" i="8" s="1"/>
  <c r="G21" i="8"/>
  <c r="I21" i="8" s="1"/>
  <c r="G20" i="8"/>
  <c r="I20" i="8" s="1"/>
  <c r="G19" i="8"/>
  <c r="I19" i="8" s="1"/>
  <c r="G18" i="8"/>
  <c r="I18" i="8" s="1"/>
  <c r="G17" i="8"/>
  <c r="I17" i="8" s="1"/>
  <c r="J28" i="8"/>
  <c r="G16" i="8"/>
  <c r="I16" i="8" s="1"/>
  <c r="G15" i="8"/>
  <c r="G14" i="8"/>
  <c r="I14" i="8" s="1"/>
  <c r="L14" i="8" s="1"/>
  <c r="P14" i="8" s="1"/>
  <c r="G13" i="8"/>
  <c r="I13" i="8" s="1"/>
  <c r="G12" i="8"/>
  <c r="I12" i="8" s="1"/>
  <c r="G11" i="8"/>
  <c r="I11" i="8" s="1"/>
  <c r="G10" i="8"/>
  <c r="I10" i="8" s="1"/>
  <c r="G9" i="8"/>
  <c r="I9" i="8" s="1"/>
  <c r="K28" i="8"/>
  <c r="G8" i="8"/>
  <c r="I8" i="8" s="1"/>
  <c r="G7" i="8"/>
  <c r="I7" i="8" s="1"/>
  <c r="G6" i="8"/>
  <c r="I6" i="8" s="1"/>
  <c r="G5" i="8"/>
  <c r="I5" i="8" s="1"/>
  <c r="H16" i="5"/>
  <c r="H28" i="5" s="1"/>
  <c r="I22" i="5"/>
  <c r="I17" i="5"/>
  <c r="I10" i="6"/>
  <c r="I11" i="6"/>
  <c r="I9" i="5"/>
  <c r="I8" i="5"/>
  <c r="I22" i="6"/>
  <c r="I18" i="6"/>
  <c r="I21" i="6"/>
  <c r="I12" i="6"/>
  <c r="D10" i="6"/>
  <c r="I13" i="6"/>
  <c r="H9" i="6"/>
  <c r="H8" i="6"/>
  <c r="H27" i="6" s="1"/>
  <c r="D8" i="6"/>
  <c r="E8" i="6" s="1"/>
  <c r="G8" i="6" s="1"/>
  <c r="D9" i="6"/>
  <c r="E9" i="6" s="1"/>
  <c r="G9" i="6" s="1"/>
  <c r="D5" i="5"/>
  <c r="D25" i="6"/>
  <c r="E25" i="6" s="1"/>
  <c r="D5" i="6"/>
  <c r="E5" i="6" s="1"/>
  <c r="D7" i="6"/>
  <c r="E7" i="6" s="1"/>
  <c r="D23" i="6"/>
  <c r="E23" i="6" s="1"/>
  <c r="G23" i="6" s="1"/>
  <c r="D22" i="6"/>
  <c r="E22" i="6" s="1"/>
  <c r="G22" i="6" s="1"/>
  <c r="D21" i="6"/>
  <c r="E21" i="6" s="1"/>
  <c r="G21" i="6" s="1"/>
  <c r="D20" i="6"/>
  <c r="E20" i="6" s="1"/>
  <c r="G20" i="6" s="1"/>
  <c r="D18" i="6"/>
  <c r="E18" i="6" s="1"/>
  <c r="G18" i="6" s="1"/>
  <c r="D19" i="6"/>
  <c r="D17" i="6"/>
  <c r="E17" i="6" s="1"/>
  <c r="G17" i="6" s="1"/>
  <c r="E19" i="6"/>
  <c r="G19" i="6" s="1"/>
  <c r="E24" i="6"/>
  <c r="G24" i="6" s="1"/>
  <c r="D16" i="6"/>
  <c r="E16" i="6" s="1"/>
  <c r="G16" i="6" s="1"/>
  <c r="D15" i="6"/>
  <c r="E15" i="6" s="1"/>
  <c r="G15" i="6" s="1"/>
  <c r="D14" i="6"/>
  <c r="E14" i="6" s="1"/>
  <c r="G14" i="6" s="1"/>
  <c r="D13" i="6"/>
  <c r="E13" i="6" s="1"/>
  <c r="G13" i="6" s="1"/>
  <c r="D12" i="6"/>
  <c r="E12" i="6" s="1"/>
  <c r="G12" i="6" s="1"/>
  <c r="D11" i="6"/>
  <c r="E11" i="6" s="1"/>
  <c r="G11" i="6" s="1"/>
  <c r="E10" i="6"/>
  <c r="G10" i="6" s="1"/>
  <c r="D6" i="6"/>
  <c r="E6" i="6" s="1"/>
  <c r="D11" i="5"/>
  <c r="E11" i="5" s="1"/>
  <c r="G11" i="5" s="1"/>
  <c r="D19" i="2"/>
  <c r="E19" i="2" s="1"/>
  <c r="D18" i="2"/>
  <c r="D17" i="2"/>
  <c r="E17" i="2" s="1"/>
  <c r="D12" i="2"/>
  <c r="E12" i="2" s="1"/>
  <c r="D13" i="2"/>
  <c r="E13" i="2" s="1"/>
  <c r="E14" i="2"/>
  <c r="G14" i="2" s="1"/>
  <c r="D15" i="2"/>
  <c r="E15" i="2" s="1"/>
  <c r="G15" i="2" s="1"/>
  <c r="D16" i="2"/>
  <c r="E16" i="2" s="1"/>
  <c r="G16" i="2" s="1"/>
  <c r="E18" i="2"/>
  <c r="G18" i="2" s="1"/>
  <c r="D11" i="2"/>
  <c r="E11" i="2" s="1"/>
  <c r="D5" i="2"/>
  <c r="E5" i="2" s="1"/>
  <c r="G5" i="2" s="1"/>
  <c r="I21" i="2"/>
  <c r="H21" i="2"/>
  <c r="E10" i="2"/>
  <c r="E9" i="2"/>
  <c r="D8" i="2"/>
  <c r="E8" i="2" s="1"/>
  <c r="D7" i="2"/>
  <c r="E7" i="2" s="1"/>
  <c r="D6" i="2"/>
  <c r="E6" i="2" s="1"/>
  <c r="D24" i="5"/>
  <c r="J20" i="5"/>
  <c r="N20" i="5" s="1"/>
  <c r="E26" i="5"/>
  <c r="D25" i="5"/>
  <c r="E25" i="5" s="1"/>
  <c r="E24" i="5"/>
  <c r="G24" i="5" s="1"/>
  <c r="J24" i="5" s="1"/>
  <c r="N24" i="5" s="1"/>
  <c r="D23" i="5"/>
  <c r="E23" i="5" s="1"/>
  <c r="D22" i="5"/>
  <c r="E22" i="5" s="1"/>
  <c r="G22" i="5" s="1"/>
  <c r="D20" i="5"/>
  <c r="E20" i="5" s="1"/>
  <c r="G20" i="5" s="1"/>
  <c r="D21" i="5"/>
  <c r="E21" i="5" s="1"/>
  <c r="D19" i="5"/>
  <c r="E19" i="5" s="1"/>
  <c r="D16" i="5"/>
  <c r="E16" i="5" s="1"/>
  <c r="G16" i="5" s="1"/>
  <c r="D17" i="5"/>
  <c r="E17" i="5" s="1"/>
  <c r="G17" i="5" s="1"/>
  <c r="D18" i="5"/>
  <c r="E18" i="5" s="1"/>
  <c r="G18" i="5" s="1"/>
  <c r="D13" i="5"/>
  <c r="E13" i="5" s="1"/>
  <c r="G13" i="5" s="1"/>
  <c r="D12" i="5"/>
  <c r="E12" i="5" s="1"/>
  <c r="G12" i="5" s="1"/>
  <c r="D9" i="5"/>
  <c r="E9" i="5" s="1"/>
  <c r="G9" i="5" s="1"/>
  <c r="D6" i="5"/>
  <c r="E6" i="5" s="1"/>
  <c r="D15" i="5"/>
  <c r="E15" i="5" s="1"/>
  <c r="G15" i="5" s="1"/>
  <c r="E14" i="5"/>
  <c r="G14" i="5" s="1"/>
  <c r="E10" i="5"/>
  <c r="G10" i="5" s="1"/>
  <c r="D8" i="5"/>
  <c r="E8" i="5" s="1"/>
  <c r="G8" i="5" s="1"/>
  <c r="D7" i="5"/>
  <c r="E7" i="5" s="1"/>
  <c r="G13" i="2" l="1"/>
  <c r="J13" i="2" s="1"/>
  <c r="N13" i="2" s="1"/>
  <c r="G12" i="2"/>
  <c r="J12" i="2" s="1"/>
  <c r="N12" i="2" s="1"/>
  <c r="G17" i="2"/>
  <c r="J17" i="2" s="1"/>
  <c r="N17" i="2" s="1"/>
  <c r="G19" i="2"/>
  <c r="J19" i="2" s="1"/>
  <c r="N19" i="2" s="1"/>
  <c r="G6" i="2"/>
  <c r="J6" i="2" s="1"/>
  <c r="N6" i="2" s="1"/>
  <c r="G7" i="2"/>
  <c r="J7" i="2" s="1"/>
  <c r="N7" i="2" s="1"/>
  <c r="G8" i="2"/>
  <c r="J8" i="2" s="1"/>
  <c r="N8" i="2" s="1"/>
  <c r="G9" i="2"/>
  <c r="J9" i="2" s="1"/>
  <c r="N9" i="2" s="1"/>
  <c r="G10" i="2"/>
  <c r="J10" i="2" s="1"/>
  <c r="N10" i="2" s="1"/>
  <c r="G11" i="2"/>
  <c r="J11" i="2" s="1"/>
  <c r="N11" i="2" s="1"/>
  <c r="G6" i="6"/>
  <c r="J6" i="6" s="1"/>
  <c r="N6" i="6" s="1"/>
  <c r="G7" i="6"/>
  <c r="J7" i="6" s="1"/>
  <c r="N7" i="6" s="1"/>
  <c r="G5" i="6"/>
  <c r="G25" i="6"/>
  <c r="J25" i="6" s="1"/>
  <c r="N25" i="6" s="1"/>
  <c r="G25" i="5"/>
  <c r="J25" i="5" s="1"/>
  <c r="N25" i="5" s="1"/>
  <c r="G26" i="5"/>
  <c r="J26" i="5" s="1"/>
  <c r="N26" i="5" s="1"/>
  <c r="G7" i="5"/>
  <c r="J7" i="5" s="1"/>
  <c r="N7" i="5" s="1"/>
  <c r="G6" i="5"/>
  <c r="J6" i="5" s="1"/>
  <c r="N6" i="5" s="1"/>
  <c r="G19" i="5"/>
  <c r="J19" i="5" s="1"/>
  <c r="N19" i="5" s="1"/>
  <c r="G21" i="5"/>
  <c r="J21" i="5" s="1"/>
  <c r="N21" i="5" s="1"/>
  <c r="G23" i="5"/>
  <c r="J23" i="5" s="1"/>
  <c r="N23" i="5" s="1"/>
  <c r="L26" i="8"/>
  <c r="P26" i="8" s="1"/>
  <c r="I15" i="8"/>
  <c r="L15" i="8" s="1"/>
  <c r="P15" i="8" s="1"/>
  <c r="J14" i="6"/>
  <c r="N14" i="6" s="1"/>
  <c r="J11" i="5"/>
  <c r="N11" i="5" s="1"/>
  <c r="J15" i="6"/>
  <c r="N15" i="6" s="1"/>
  <c r="J14" i="5"/>
  <c r="N14" i="5" s="1"/>
  <c r="J15" i="5"/>
  <c r="N15" i="5" s="1"/>
  <c r="J24" i="6"/>
  <c r="N24" i="6" s="1"/>
  <c r="J12" i="5"/>
  <c r="N12" i="5" s="1"/>
  <c r="J10" i="5"/>
  <c r="N10" i="5" s="1"/>
  <c r="J16" i="6"/>
  <c r="N16" i="6" s="1"/>
  <c r="J19" i="6"/>
  <c r="N19" i="6" s="1"/>
  <c r="L25" i="8"/>
  <c r="P25" i="8" s="1"/>
  <c r="J13" i="5"/>
  <c r="N13" i="5" s="1"/>
  <c r="J18" i="2"/>
  <c r="N18" i="2" s="1"/>
  <c r="J20" i="6"/>
  <c r="N20" i="6" s="1"/>
  <c r="J18" i="5"/>
  <c r="N18" i="5" s="1"/>
  <c r="J16" i="2"/>
  <c r="N16" i="2" s="1"/>
  <c r="J15" i="2"/>
  <c r="N15" i="2" s="1"/>
  <c r="J14" i="2"/>
  <c r="N14" i="2" s="1"/>
  <c r="J23" i="6"/>
  <c r="N23" i="6" s="1"/>
  <c r="L6" i="8"/>
  <c r="P6" i="8" s="1"/>
  <c r="L7" i="8"/>
  <c r="P7" i="8" s="1"/>
  <c r="L8" i="8"/>
  <c r="P8" i="8" s="1"/>
  <c r="L9" i="8"/>
  <c r="P9" i="8" s="1"/>
  <c r="L10" i="8"/>
  <c r="P10" i="8" s="1"/>
  <c r="L11" i="8"/>
  <c r="P11" i="8" s="1"/>
  <c r="L12" i="8"/>
  <c r="P12" i="8" s="1"/>
  <c r="L13" i="8"/>
  <c r="P13" i="8" s="1"/>
  <c r="L16" i="8"/>
  <c r="P16" i="8" s="1"/>
  <c r="L17" i="8"/>
  <c r="P17" i="8" s="1"/>
  <c r="L18" i="8"/>
  <c r="P18" i="8" s="1"/>
  <c r="L19" i="8"/>
  <c r="P19" i="8" s="1"/>
  <c r="L20" i="8"/>
  <c r="P20" i="8" s="1"/>
  <c r="L21" i="8"/>
  <c r="P21" i="8" s="1"/>
  <c r="L22" i="8"/>
  <c r="P22" i="8" s="1"/>
  <c r="L23" i="8"/>
  <c r="P23" i="8" s="1"/>
  <c r="L24" i="8"/>
  <c r="P24" i="8" s="1"/>
  <c r="G28" i="8"/>
  <c r="J18" i="6"/>
  <c r="N18" i="6" s="1"/>
  <c r="J22" i="5"/>
  <c r="N22" i="5" s="1"/>
  <c r="J9" i="5"/>
  <c r="N9" i="5" s="1"/>
  <c r="J17" i="5"/>
  <c r="N17" i="5" s="1"/>
  <c r="I28" i="5"/>
  <c r="J16" i="5"/>
  <c r="N16" i="5" s="1"/>
  <c r="J11" i="6"/>
  <c r="N11" i="6" s="1"/>
  <c r="J8" i="5"/>
  <c r="N8" i="5" s="1"/>
  <c r="J22" i="6"/>
  <c r="N22" i="6" s="1"/>
  <c r="J21" i="6"/>
  <c r="N21" i="6" s="1"/>
  <c r="J12" i="6"/>
  <c r="N12" i="6" s="1"/>
  <c r="J10" i="6"/>
  <c r="N10" i="6" s="1"/>
  <c r="I27" i="6"/>
  <c r="J13" i="6"/>
  <c r="N13" i="6" s="1"/>
  <c r="J8" i="6"/>
  <c r="N8" i="6" s="1"/>
  <c r="J9" i="6"/>
  <c r="N9" i="6" s="1"/>
  <c r="J17" i="6"/>
  <c r="N17" i="6" s="1"/>
  <c r="E27" i="6"/>
  <c r="E21" i="2"/>
  <c r="E5" i="5"/>
  <c r="G27" i="6" l="1"/>
  <c r="J27" i="6" s="1"/>
  <c r="J5" i="6"/>
  <c r="N5" i="6" s="1"/>
  <c r="G5" i="5"/>
  <c r="J5" i="5" s="1"/>
  <c r="L5" i="8"/>
  <c r="I28" i="8"/>
  <c r="E28" i="5"/>
  <c r="N27" i="6"/>
  <c r="G28" i="5"/>
  <c r="G21" i="2"/>
  <c r="J5" i="2"/>
  <c r="N5" i="5" l="1"/>
  <c r="N28" i="5" s="1"/>
  <c r="J28" i="5"/>
  <c r="L28" i="8"/>
  <c r="P5" i="8"/>
  <c r="P28" i="8" s="1"/>
  <c r="N5" i="2"/>
  <c r="N21" i="2" s="1"/>
  <c r="J21" i="2"/>
</calcChain>
</file>

<file path=xl/sharedStrings.xml><?xml version="1.0" encoding="utf-8"?>
<sst xmlns="http://schemas.openxmlformats.org/spreadsheetml/2006/main" count="238" uniqueCount="88">
  <si>
    <t>Subsystem/Component</t>
  </si>
  <si>
    <t>Total Surface Area [m^2]</t>
  </si>
  <si>
    <t>Notes</t>
  </si>
  <si>
    <t>Manufacturing Environment pre ATLO (internal assembly)</t>
  </si>
  <si>
    <t>Spores from non-metals</t>
  </si>
  <si>
    <t>Spores from Electronic Piece Parts</t>
  </si>
  <si>
    <t>Quantity or # MLI Layers</t>
  </si>
  <si>
    <t>Spore Burden (add prev 3 columns)</t>
  </si>
  <si>
    <t>Total Final Bio Burden</t>
  </si>
  <si>
    <t>Spores from Surface Area</t>
  </si>
  <si>
    <t xml:space="preserve">Use Total Surface Area for All Calculations </t>
  </si>
  <si>
    <t>Sun Sensor</t>
  </si>
  <si>
    <t>Sphinx Avionics Board</t>
  </si>
  <si>
    <t>Interface Card</t>
  </si>
  <si>
    <t>Primary Structure</t>
  </si>
  <si>
    <t>2-Axis Sollar Array Gimbals</t>
  </si>
  <si>
    <t>Cabling</t>
  </si>
  <si>
    <t>Rigid-panel Solar Arrays</t>
  </si>
  <si>
    <t>Li-Ion Batteries</t>
  </si>
  <si>
    <t>CubeSat EPS</t>
  </si>
  <si>
    <t>COTS Monoprop Propulsion System (MPS-135-8U)</t>
  </si>
  <si>
    <t>IRIS v2 Radio</t>
  </si>
  <si>
    <t>UHF Loop Antenna</t>
  </si>
  <si>
    <t>X-Band Patch Arrays (4x4 patch)</t>
  </si>
  <si>
    <t>UHF Diplexer</t>
  </si>
  <si>
    <t>Radiator</t>
  </si>
  <si>
    <t>Heaters</t>
  </si>
  <si>
    <t>NIR Spectrometer</t>
  </si>
  <si>
    <t>Limb Infrared Radiometer</t>
  </si>
  <si>
    <t>15" Lightband</t>
  </si>
  <si>
    <t>TOTALS:</t>
  </si>
  <si>
    <t>Reaction Wheels (BCT RW4)</t>
  </si>
  <si>
    <t>KVH-1750 IMU</t>
  </si>
  <si>
    <t>Star Tracker (Sodern Hydra)</t>
  </si>
  <si>
    <t>Method</t>
  </si>
  <si>
    <t>Process Details if Needed</t>
  </si>
  <si>
    <t>Use these Columns to track reductions made through methods of your choice (B&amp;B analysis, Mfr. Reduction, Bakeouts, and Chemical Baths)</t>
  </si>
  <si>
    <t>Reduction Credit (log scale)</t>
  </si>
  <si>
    <t>Uncontrolled, ISO 8 PC, ISO 8 BC, ISO 7 PC, ISO 7 BC</t>
  </si>
  <si>
    <t>ISO 8 PC</t>
  </si>
  <si>
    <t>ISO 7 PC</t>
  </si>
  <si>
    <t>Initial Bioburden Calculations using total surface area and manufacturing environment (bold underline values from assay) If unknown, fill "Spores from Surface Area" only</t>
  </si>
  <si>
    <t>CBE Surface Area per unit [m^2]</t>
  </si>
  <si>
    <t>Goal is              &lt; 500,000</t>
  </si>
  <si>
    <t>Uncontrolled</t>
  </si>
  <si>
    <t>6U CubeSat Magnetometer and Cosmic Ray Detection (High Eliptical Orbit)</t>
  </si>
  <si>
    <t>Avionics Board</t>
  </si>
  <si>
    <t>IMU</t>
  </si>
  <si>
    <t>Solar Arrays</t>
  </si>
  <si>
    <t>Batteries</t>
  </si>
  <si>
    <t>Propulsion System</t>
  </si>
  <si>
    <t>Radio</t>
  </si>
  <si>
    <t>Antenna</t>
  </si>
  <si>
    <t>Magnetometer</t>
  </si>
  <si>
    <t>Gamma and X-Ray Detector</t>
  </si>
  <si>
    <t>Spores from Non-Metals</t>
  </si>
  <si>
    <t>16U CubeSat Structure</t>
  </si>
  <si>
    <t>https://icubesat.org/wp-content/uploads/2019/05/a.3.1.201905281030-mani.pdf</t>
  </si>
  <si>
    <t>16U CubeSat Mission with Propulsion System</t>
  </si>
  <si>
    <t>CubeSat ACU</t>
  </si>
  <si>
    <t>CubeSat PDU</t>
  </si>
  <si>
    <t>IRIS V2 Radio</t>
  </si>
  <si>
    <t>S-Band Antenna</t>
  </si>
  <si>
    <t>X-Band Antenna</t>
  </si>
  <si>
    <t>Nav Camera</t>
  </si>
  <si>
    <t>Harnessing</t>
  </si>
  <si>
    <t>Reaction Wheels</t>
  </si>
  <si>
    <t>CubeSat IMU</t>
  </si>
  <si>
    <t>Star Trackers</t>
  </si>
  <si>
    <t>Sun Sensors</t>
  </si>
  <si>
    <t>OBC</t>
  </si>
  <si>
    <t>Instrument OBC</t>
  </si>
  <si>
    <t>Instrument</t>
  </si>
  <si>
    <t>Propulsion Tanks</t>
  </si>
  <si>
    <t>Thrusters</t>
  </si>
  <si>
    <t>Radiation shielding, MLI, and other protective components</t>
  </si>
  <si>
    <t xml:space="preserve"> </t>
  </si>
  <si>
    <t>Mission Title or Description</t>
  </si>
  <si>
    <t>ISO 8 BC</t>
  </si>
  <si>
    <t>ISO 7 BC</t>
  </si>
  <si>
    <t>Term</t>
  </si>
  <si>
    <t>Definition</t>
  </si>
  <si>
    <r>
      <t>Spores/m</t>
    </r>
    <r>
      <rPr>
        <b/>
        <vertAlign val="superscript"/>
        <sz val="11"/>
        <color theme="1"/>
        <rFont val="Calibri"/>
        <family val="2"/>
        <scheme val="minor"/>
      </rPr>
      <t>2</t>
    </r>
  </si>
  <si>
    <t>Goal is 
&lt; 500,000</t>
  </si>
  <si>
    <t xml:space="preserve">Example of a 6U CubeSat mission with initial estimations of potential components. All manufacturing environments are assumed to be Uncontrolled in order to estimate worst case, but the total surface areas are not yet representative because of the early stage emphasizing how bioburden estimations can happen early in the planning process and do not have to wait until hardware is procured. </t>
  </si>
  <si>
    <t>Polar Orbiter Small Sat</t>
  </si>
  <si>
    <t>Mass per Unit [kg]</t>
  </si>
  <si>
    <t>Mass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</si>
</sst>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11" x14ac:knownFonts="1">
    <font>
      <sz val="11"/>
      <color theme="1"/>
      <name val="Calibri"/>
      <family val="2"/>
      <scheme val="minor"/>
    </font>
    <font>
      <sz val="11"/>
      <color theme="1"/>
      <name val="Calibri"/>
      <family val="2"/>
      <scheme val="minor"/>
    </font>
    <font>
      <sz val="9"/>
      <color theme="1"/>
      <name val="Calibri"/>
      <family val="2"/>
      <scheme val="minor"/>
    </font>
    <font>
      <b/>
      <sz val="11"/>
      <color theme="1"/>
      <name val="Calibri"/>
      <family val="2"/>
      <scheme val="minor"/>
    </font>
    <font>
      <sz val="10"/>
      <color theme="1"/>
      <name val="Calibri"/>
      <family val="2"/>
      <scheme val="minor"/>
    </font>
    <font>
      <i/>
      <sz val="10"/>
      <color theme="1"/>
      <name val="Calibri"/>
      <family val="2"/>
      <scheme val="minor"/>
    </font>
    <font>
      <b/>
      <i/>
      <sz val="10"/>
      <color theme="1"/>
      <name val="Calibri"/>
      <family val="2"/>
      <scheme val="minor"/>
    </font>
    <font>
      <sz val="10"/>
      <name val="Calibri"/>
      <family val="2"/>
      <scheme val="minor"/>
    </font>
    <font>
      <b/>
      <sz val="10"/>
      <color theme="1"/>
      <name val="Calibri"/>
      <family val="2"/>
      <scheme val="minor"/>
    </font>
    <font>
      <u/>
      <sz val="11"/>
      <color theme="10"/>
      <name val="Calibri"/>
      <family val="2"/>
      <scheme val="minor"/>
    </font>
    <font>
      <b/>
      <vertAlign val="superscript"/>
      <sz val="11"/>
      <color theme="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4" tint="0.59999389629810485"/>
        <bgColor indexed="64"/>
      </patternFill>
    </fill>
    <fill>
      <patternFill patternType="solid">
        <fgColor theme="0"/>
        <bgColor indexed="64"/>
      </patternFill>
    </fill>
  </fills>
  <borders count="24">
    <border>
      <left/>
      <right/>
      <top/>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left>
      <right style="thin">
        <color theme="0"/>
      </right>
      <top style="thin">
        <color theme="0"/>
      </top>
      <bottom style="thin">
        <color theme="0"/>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34998626667073579"/>
      </left>
      <right style="thin">
        <color theme="0" tint="-0.34998626667073579"/>
      </right>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bottom style="thin">
        <color theme="0" tint="-0.14999847407452621"/>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9" fillId="0" borderId="0" applyNumberFormat="0" applyFill="0" applyBorder="0" applyAlignment="0" applyProtection="0"/>
  </cellStyleXfs>
  <cellXfs count="79">
    <xf numFmtId="0" fontId="0" fillId="0" borderId="0" xfId="0"/>
    <xf numFmtId="0" fontId="2" fillId="0" borderId="0" xfId="0" applyFont="1"/>
    <xf numFmtId="0" fontId="2" fillId="0" borderId="0" xfId="0" applyFont="1" applyAlignment="1">
      <alignment vertical="center"/>
    </xf>
    <xf numFmtId="0" fontId="2" fillId="4" borderId="0" xfId="0" applyFont="1" applyFill="1"/>
    <xf numFmtId="0" fontId="2" fillId="4" borderId="11" xfId="0" applyFont="1" applyFill="1" applyBorder="1"/>
    <xf numFmtId="0" fontId="2" fillId="0" borderId="11" xfId="0" applyFont="1" applyBorder="1"/>
    <xf numFmtId="0" fontId="2" fillId="4" borderId="0" xfId="0" applyFont="1" applyFill="1" applyAlignment="1">
      <alignment vertical="center"/>
    </xf>
    <xf numFmtId="0" fontId="4" fillId="0" borderId="11" xfId="0" applyFont="1" applyBorder="1" applyAlignment="1">
      <alignment vertical="top" wrapText="1"/>
    </xf>
    <xf numFmtId="0" fontId="2" fillId="0" borderId="12" xfId="0" applyFont="1" applyBorder="1"/>
    <xf numFmtId="0" fontId="2" fillId="4" borderId="11" xfId="0" applyFont="1" applyFill="1" applyBorder="1" applyAlignment="1">
      <alignment vertical="center"/>
    </xf>
    <xf numFmtId="0" fontId="4" fillId="0" borderId="13" xfId="0" applyFont="1" applyBorder="1"/>
    <xf numFmtId="0" fontId="4" fillId="0" borderId="14" xfId="0" applyFont="1" applyBorder="1"/>
    <xf numFmtId="0" fontId="4" fillId="0" borderId="14" xfId="0" applyFont="1" applyBorder="1" applyAlignment="1">
      <alignment vertical="top" wrapText="1"/>
    </xf>
    <xf numFmtId="0" fontId="4" fillId="0" borderId="1" xfId="0" applyFont="1" applyBorder="1"/>
    <xf numFmtId="0" fontId="4" fillId="0" borderId="15" xfId="0" applyFont="1" applyBorder="1"/>
    <xf numFmtId="0" fontId="4" fillId="0" borderId="15" xfId="0" applyFont="1" applyBorder="1" applyAlignment="1">
      <alignment wrapText="1"/>
    </xf>
    <xf numFmtId="0" fontId="2" fillId="0" borderId="16" xfId="0" applyFont="1" applyBorder="1"/>
    <xf numFmtId="0" fontId="2" fillId="0" borderId="10" xfId="0" applyFont="1" applyBorder="1"/>
    <xf numFmtId="0" fontId="2" fillId="0" borderId="18" xfId="0" applyFont="1" applyBorder="1"/>
    <xf numFmtId="0" fontId="2" fillId="0" borderId="18" xfId="0" applyFont="1" applyBorder="1" applyAlignment="1">
      <alignment vertical="center"/>
    </xf>
    <xf numFmtId="0" fontId="2" fillId="0" borderId="19" xfId="0" applyFont="1" applyBorder="1"/>
    <xf numFmtId="0" fontId="2" fillId="0" borderId="19" xfId="0" applyFont="1" applyBorder="1" applyAlignment="1">
      <alignment vertical="center"/>
    </xf>
    <xf numFmtId="0" fontId="4" fillId="0" borderId="17" xfId="0" applyFont="1" applyBorder="1"/>
    <xf numFmtId="0" fontId="4" fillId="2" borderId="14"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7" fillId="4" borderId="14" xfId="0" applyFont="1" applyFill="1" applyBorder="1" applyAlignment="1">
      <alignment horizontal="left" wrapText="1"/>
    </xf>
    <xf numFmtId="2" fontId="7" fillId="4" borderId="14" xfId="0" applyNumberFormat="1" applyFont="1" applyFill="1" applyBorder="1" applyAlignment="1">
      <alignment horizontal="center" wrapText="1"/>
    </xf>
    <xf numFmtId="165" fontId="7" fillId="4" borderId="14" xfId="0" applyNumberFormat="1" applyFont="1" applyFill="1" applyBorder="1" applyAlignment="1">
      <alignment horizontal="center" wrapText="1"/>
    </xf>
    <xf numFmtId="0" fontId="7" fillId="4" borderId="14" xfId="0" applyFont="1" applyFill="1" applyBorder="1" applyAlignment="1">
      <alignment horizontal="center" vertical="center" wrapText="1"/>
    </xf>
    <xf numFmtId="2" fontId="7" fillId="4" borderId="14" xfId="1" applyNumberFormat="1" applyFont="1" applyFill="1" applyBorder="1" applyAlignment="1">
      <alignment horizontal="center" wrapText="1"/>
    </xf>
    <xf numFmtId="2" fontId="7" fillId="4" borderId="14" xfId="0" applyNumberFormat="1" applyFont="1" applyFill="1" applyBorder="1" applyAlignment="1">
      <alignment horizontal="center" vertical="center" wrapText="1"/>
    </xf>
    <xf numFmtId="2" fontId="4" fillId="4" borderId="14" xfId="0" applyNumberFormat="1" applyFont="1" applyFill="1" applyBorder="1" applyAlignment="1">
      <alignment horizontal="center" wrapText="1"/>
    </xf>
    <xf numFmtId="0" fontId="4" fillId="4" borderId="14" xfId="0" applyFont="1" applyFill="1" applyBorder="1" applyAlignment="1">
      <alignment horizontal="center" wrapText="1"/>
    </xf>
    <xf numFmtId="0" fontId="7" fillId="4" borderId="14" xfId="0" applyFont="1" applyFill="1" applyBorder="1" applyAlignment="1">
      <alignment horizontal="center" wrapText="1"/>
    </xf>
    <xf numFmtId="2" fontId="4" fillId="0" borderId="14" xfId="0" applyNumberFormat="1" applyFont="1" applyBorder="1"/>
    <xf numFmtId="0" fontId="7" fillId="4" borderId="14" xfId="0" applyFont="1" applyFill="1" applyBorder="1" applyAlignment="1">
      <alignment horizontal="left" vertical="center" wrapText="1"/>
    </xf>
    <xf numFmtId="0" fontId="7" fillId="4" borderId="14" xfId="0" applyFont="1" applyFill="1" applyBorder="1" applyAlignment="1">
      <alignment vertical="center" wrapText="1"/>
    </xf>
    <xf numFmtId="0" fontId="4" fillId="0" borderId="14" xfId="0" applyFont="1" applyBorder="1" applyAlignment="1">
      <alignment vertical="center"/>
    </xf>
    <xf numFmtId="164" fontId="7" fillId="4" borderId="14" xfId="0" applyNumberFormat="1" applyFont="1" applyFill="1" applyBorder="1" applyAlignment="1">
      <alignment horizontal="center" vertical="center" wrapText="1"/>
    </xf>
    <xf numFmtId="0" fontId="4" fillId="4" borderId="14" xfId="0" applyFont="1" applyFill="1" applyBorder="1" applyAlignment="1">
      <alignment wrapText="1"/>
    </xf>
    <xf numFmtId="0" fontId="4" fillId="4" borderId="14" xfId="0" applyFont="1" applyFill="1" applyBorder="1"/>
    <xf numFmtId="0" fontId="8" fillId="3" borderId="14" xfId="0" applyFont="1" applyFill="1" applyBorder="1"/>
    <xf numFmtId="0" fontId="4" fillId="3" borderId="14" xfId="0" applyFont="1" applyFill="1" applyBorder="1"/>
    <xf numFmtId="2" fontId="4" fillId="3" borderId="14" xfId="0" applyNumberFormat="1" applyFont="1" applyFill="1" applyBorder="1"/>
    <xf numFmtId="165" fontId="4" fillId="3" borderId="14" xfId="0" applyNumberFormat="1" applyFont="1" applyFill="1" applyBorder="1"/>
    <xf numFmtId="0" fontId="4" fillId="0" borderId="19" xfId="0" applyFont="1" applyBorder="1"/>
    <xf numFmtId="0" fontId="2" fillId="0" borderId="17" xfId="0" applyFont="1" applyBorder="1"/>
    <xf numFmtId="0" fontId="2" fillId="0" borderId="20" xfId="0" applyFont="1" applyBorder="1"/>
    <xf numFmtId="0" fontId="4" fillId="0" borderId="20" xfId="0" applyFont="1" applyBorder="1"/>
    <xf numFmtId="0" fontId="4" fillId="4" borderId="20" xfId="0" applyFont="1" applyFill="1" applyBorder="1"/>
    <xf numFmtId="0" fontId="2" fillId="4" borderId="20" xfId="0" applyFont="1" applyFill="1" applyBorder="1" applyAlignment="1">
      <alignment vertical="center"/>
    </xf>
    <xf numFmtId="0" fontId="2" fillId="4" borderId="20" xfId="0" applyFont="1" applyFill="1" applyBorder="1"/>
    <xf numFmtId="0" fontId="2" fillId="4" borderId="21" xfId="0" applyFont="1" applyFill="1" applyBorder="1"/>
    <xf numFmtId="0" fontId="2" fillId="0" borderId="22" xfId="0" applyFont="1" applyBorder="1"/>
    <xf numFmtId="0" fontId="2" fillId="0" borderId="21" xfId="0" applyFont="1" applyBorder="1"/>
    <xf numFmtId="0" fontId="2" fillId="4" borderId="18" xfId="0" applyFont="1" applyFill="1" applyBorder="1"/>
    <xf numFmtId="0" fontId="2" fillId="4" borderId="18" xfId="0" applyFont="1" applyFill="1" applyBorder="1" applyAlignment="1">
      <alignment vertical="center"/>
    </xf>
    <xf numFmtId="0" fontId="4" fillId="4" borderId="19" xfId="0" applyFont="1" applyFill="1" applyBorder="1"/>
    <xf numFmtId="0" fontId="2" fillId="4" borderId="19" xfId="0" applyFont="1" applyFill="1" applyBorder="1" applyAlignment="1">
      <alignment vertical="center"/>
    </xf>
    <xf numFmtId="0" fontId="2" fillId="4" borderId="19" xfId="0" applyFont="1" applyFill="1" applyBorder="1"/>
    <xf numFmtId="2" fontId="4" fillId="4" borderId="14" xfId="0" applyNumberFormat="1" applyFont="1" applyFill="1" applyBorder="1" applyAlignment="1">
      <alignment horizontal="center"/>
    </xf>
    <xf numFmtId="0" fontId="4" fillId="4" borderId="14" xfId="0" applyFont="1" applyFill="1" applyBorder="1" applyAlignment="1">
      <alignment horizontal="center"/>
    </xf>
    <xf numFmtId="0" fontId="4" fillId="4" borderId="14" xfId="0" applyFont="1" applyFill="1" applyBorder="1" applyAlignment="1">
      <alignment horizontal="center" vertical="center"/>
    </xf>
    <xf numFmtId="0" fontId="9" fillId="4" borderId="11" xfId="2" applyFill="1" applyBorder="1"/>
    <xf numFmtId="0" fontId="3" fillId="0" borderId="23" xfId="0" applyFont="1" applyBorder="1"/>
    <xf numFmtId="0" fontId="0" fillId="0" borderId="23" xfId="0" applyBorder="1" applyAlignment="1">
      <alignment wrapText="1"/>
    </xf>
    <xf numFmtId="0" fontId="0" fillId="0" borderId="23" xfId="0" applyBorder="1"/>
    <xf numFmtId="0" fontId="3" fillId="3" borderId="14" xfId="0" applyFont="1" applyFill="1" applyBorder="1" applyAlignment="1">
      <alignment horizontal="left" vertical="center"/>
    </xf>
    <xf numFmtId="0" fontId="5" fillId="2" borderId="14" xfId="0" applyFont="1" applyFill="1" applyBorder="1" applyAlignment="1">
      <alignment horizontal="center" vertic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0" xfId="0" applyFont="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2" xfId="0" applyFont="1" applyBorder="1" applyAlignment="1">
      <alignment horizontal="left" vertical="top" wrapText="1"/>
    </xf>
    <xf numFmtId="0" fontId="4" fillId="0" borderId="9" xfId="0" applyFont="1" applyBorder="1" applyAlignment="1">
      <alignment horizontal="left" vertical="top" wrapText="1"/>
    </xf>
  </cellXfs>
  <cellStyles count="3">
    <cellStyle name="Hyperlink" xfId="2" builtinId="8"/>
    <cellStyle name="Normal" xfId="0" builtinId="0"/>
    <cellStyle name="Percent" xfId="1" builtinId="5"/>
  </cellStyles>
  <dxfs count="23">
    <dxf>
      <fill>
        <patternFill>
          <bgColor rgb="FFFFC7CE"/>
        </patternFill>
      </fill>
    </dxf>
    <dxf>
      <fill>
        <patternFill>
          <bgColor theme="9" tint="0.39994506668294322"/>
        </patternFill>
      </fill>
    </dxf>
    <dxf>
      <fill>
        <patternFill>
          <bgColor rgb="FFFF5050"/>
        </patternFill>
      </fill>
    </dxf>
    <dxf>
      <fill>
        <patternFill>
          <bgColor rgb="FFFF5050"/>
        </patternFill>
      </fill>
    </dxf>
    <dxf>
      <fill>
        <patternFill>
          <bgColor rgb="FFFFC7CE"/>
        </patternFill>
      </fill>
    </dxf>
    <dxf>
      <fill>
        <patternFill>
          <bgColor theme="9" tint="0.39994506668294322"/>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C7CE"/>
        </patternFill>
      </fill>
    </dxf>
    <dxf>
      <fill>
        <patternFill>
          <bgColor theme="9" tint="0.39994506668294322"/>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C7CE"/>
        </patternFill>
      </fill>
    </dxf>
    <dxf>
      <fill>
        <patternFill>
          <bgColor theme="9" tint="0.39994506668294322"/>
        </patternFill>
      </fill>
    </dxf>
    <dxf>
      <fill>
        <patternFill>
          <bgColor rgb="FFFF5050"/>
        </patternFill>
      </fill>
    </dxf>
    <dxf>
      <fill>
        <patternFill>
          <bgColor rgb="FFFF5050"/>
        </patternFill>
      </fill>
    </dxf>
  </dxfs>
  <tableStyles count="0" defaultTableStyle="TableStyleMedium2" defaultPivotStyle="PivotStyleLight16"/>
  <colors>
    <mruColors>
      <color rgb="FFFFFECF"/>
      <color rgb="FFFF5050"/>
      <color rgb="FFC6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icubesat.org/wp-content/uploads/2019/05/a.3.1.201905281030-mani.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2B640-CD9C-42DC-AB0D-C37F3865F0E6}">
  <dimension ref="A1:R47"/>
  <sheetViews>
    <sheetView zoomScaleNormal="100" workbookViewId="0">
      <selection activeCell="H31" sqref="H31"/>
    </sheetView>
  </sheetViews>
  <sheetFormatPr baseColWidth="10" defaultColWidth="8.83203125" defaultRowHeight="12" x14ac:dyDescent="0.15"/>
  <cols>
    <col min="1" max="1" width="2.5" style="1" customWidth="1"/>
    <col min="2" max="2" width="22.33203125" style="1" customWidth="1"/>
    <col min="3" max="5" width="13.1640625" style="1" customWidth="1"/>
    <col min="6" max="6" width="18.5" style="1" customWidth="1"/>
    <col min="7" max="7" width="14.5" style="1" customWidth="1"/>
    <col min="8" max="8" width="21.33203125" style="1" customWidth="1"/>
    <col min="9" max="9" width="14.83203125" style="1" customWidth="1"/>
    <col min="10" max="10" width="16.5" style="1" customWidth="1"/>
    <col min="11" max="11" width="20.83203125" style="1" customWidth="1"/>
    <col min="12" max="12" width="17.83203125" style="1" customWidth="1"/>
    <col min="13" max="13" width="18.33203125" style="1" customWidth="1"/>
    <col min="14" max="14" width="17.1640625" style="1" customWidth="1"/>
    <col min="15" max="15" width="18.6640625" style="1" customWidth="1"/>
    <col min="16" max="16" width="12.5" style="1" customWidth="1"/>
    <col min="17" max="17" width="17.5" style="1" customWidth="1"/>
    <col min="18" max="18" width="6.5" style="1" customWidth="1"/>
    <col min="19" max="16384" width="8.83203125" style="1"/>
  </cols>
  <sheetData>
    <row r="1" spans="1:18" ht="10.5" customHeight="1" x14ac:dyDescent="0.15">
      <c r="A1" s="17"/>
      <c r="B1" s="16"/>
      <c r="C1" s="16"/>
      <c r="D1" s="16"/>
      <c r="E1" s="16"/>
      <c r="F1" s="16"/>
      <c r="G1" s="16"/>
      <c r="H1" s="16"/>
      <c r="I1" s="16"/>
      <c r="J1" s="16"/>
      <c r="K1" s="16"/>
      <c r="L1" s="16"/>
      <c r="M1" s="16"/>
      <c r="N1" s="16"/>
      <c r="O1" s="16"/>
      <c r="P1" s="16"/>
      <c r="Q1" s="16"/>
      <c r="R1" s="17"/>
    </row>
    <row r="2" spans="1:18" ht="30.5" customHeight="1" x14ac:dyDescent="0.15">
      <c r="A2" s="18"/>
      <c r="B2" s="68" t="s">
        <v>77</v>
      </c>
      <c r="C2" s="68"/>
      <c r="D2" s="68"/>
      <c r="E2" s="68"/>
      <c r="F2" s="68"/>
      <c r="G2" s="68"/>
      <c r="H2" s="68"/>
      <c r="I2" s="68"/>
      <c r="J2" s="68"/>
      <c r="K2" s="68"/>
      <c r="L2" s="68"/>
      <c r="M2" s="68"/>
      <c r="N2" s="68"/>
      <c r="O2" s="68"/>
      <c r="P2" s="68"/>
      <c r="Q2" s="68"/>
      <c r="R2" s="20"/>
    </row>
    <row r="3" spans="1:18" s="2" customFormat="1" ht="40" customHeight="1" x14ac:dyDescent="0.2">
      <c r="A3" s="19"/>
      <c r="B3" s="23"/>
      <c r="C3" s="23"/>
      <c r="D3" s="23"/>
      <c r="E3" s="23"/>
      <c r="F3" s="69" t="s">
        <v>10</v>
      </c>
      <c r="G3" s="69"/>
      <c r="H3" s="24" t="s">
        <v>38</v>
      </c>
      <c r="I3" s="69" t="s">
        <v>41</v>
      </c>
      <c r="J3" s="69"/>
      <c r="K3" s="69"/>
      <c r="L3" s="69"/>
      <c r="M3" s="69" t="s">
        <v>36</v>
      </c>
      <c r="N3" s="69"/>
      <c r="O3" s="69"/>
      <c r="P3" s="24" t="s">
        <v>83</v>
      </c>
      <c r="Q3" s="23"/>
      <c r="R3" s="21"/>
    </row>
    <row r="4" spans="1:18" s="2" customFormat="1" ht="40.5" customHeight="1" x14ac:dyDescent="0.2">
      <c r="A4" s="19"/>
      <c r="B4" s="25" t="s">
        <v>0</v>
      </c>
      <c r="C4" s="25" t="s">
        <v>6</v>
      </c>
      <c r="D4" s="25" t="s">
        <v>86</v>
      </c>
      <c r="E4" s="25" t="s">
        <v>87</v>
      </c>
      <c r="F4" s="25" t="s">
        <v>42</v>
      </c>
      <c r="G4" s="25" t="s">
        <v>1</v>
      </c>
      <c r="H4" s="25" t="s">
        <v>3</v>
      </c>
      <c r="I4" s="25" t="s">
        <v>9</v>
      </c>
      <c r="J4" s="25" t="s">
        <v>55</v>
      </c>
      <c r="K4" s="25" t="s">
        <v>5</v>
      </c>
      <c r="L4" s="25" t="s">
        <v>7</v>
      </c>
      <c r="M4" s="25" t="s">
        <v>34</v>
      </c>
      <c r="N4" s="25" t="s">
        <v>35</v>
      </c>
      <c r="O4" s="25" t="s">
        <v>37</v>
      </c>
      <c r="P4" s="25" t="s">
        <v>8</v>
      </c>
      <c r="Q4" s="25" t="s">
        <v>2</v>
      </c>
      <c r="R4" s="21"/>
    </row>
    <row r="5" spans="1:18" ht="15.5" customHeight="1" x14ac:dyDescent="0.2">
      <c r="A5" s="18"/>
      <c r="B5" s="26"/>
      <c r="C5" s="27"/>
      <c r="D5" s="27"/>
      <c r="E5" s="27">
        <f>C5*D5</f>
        <v>0</v>
      </c>
      <c r="F5" s="27"/>
      <c r="G5" s="27">
        <f t="shared" ref="G5:G26" si="0">F5*C5</f>
        <v>0</v>
      </c>
      <c r="H5" s="29" t="s">
        <v>44</v>
      </c>
      <c r="I5" s="30">
        <f>G5*VLOOKUP(H5,'Environment Options'!$A$2:$B$6,2,FALSE)</f>
        <v>0</v>
      </c>
      <c r="J5" s="27">
        <v>0</v>
      </c>
      <c r="K5" s="31">
        <v>0</v>
      </c>
      <c r="L5" s="32">
        <f>I5 + J5 + K5</f>
        <v>0</v>
      </c>
      <c r="M5" s="33"/>
      <c r="N5" s="34"/>
      <c r="O5" s="34"/>
      <c r="P5" s="35">
        <f>L5/(10^O5)</f>
        <v>0</v>
      </c>
      <c r="Q5" s="11"/>
      <c r="R5" s="20"/>
    </row>
    <row r="6" spans="1:18" s="2" customFormat="1" ht="15" x14ac:dyDescent="0.2">
      <c r="A6" s="19"/>
      <c r="B6" s="36"/>
      <c r="C6" s="31"/>
      <c r="D6" s="31"/>
      <c r="E6" s="27">
        <f t="shared" ref="E6:E27" si="1">C6*D6</f>
        <v>0</v>
      </c>
      <c r="F6" s="31"/>
      <c r="G6" s="27">
        <f t="shared" si="0"/>
        <v>0</v>
      </c>
      <c r="H6" s="29" t="s">
        <v>44</v>
      </c>
      <c r="I6" s="30">
        <f>G6*VLOOKUP(H6,'Environment Options'!$A$2:$B$6,2,FALSE)</f>
        <v>0</v>
      </c>
      <c r="J6" s="31">
        <v>0</v>
      </c>
      <c r="K6" s="31">
        <v>0</v>
      </c>
      <c r="L6" s="32">
        <f t="shared" ref="L6:L26" si="2">I6 + J6 + K6</f>
        <v>0</v>
      </c>
      <c r="M6" s="31"/>
      <c r="N6" s="37"/>
      <c r="O6" s="37"/>
      <c r="P6" s="35">
        <f t="shared" ref="P6:P26" si="3">L6/(10^O6)</f>
        <v>0</v>
      </c>
      <c r="Q6" s="38"/>
      <c r="R6" s="21"/>
    </row>
    <row r="7" spans="1:18" s="2" customFormat="1" ht="15" x14ac:dyDescent="0.2">
      <c r="A7" s="19"/>
      <c r="B7" s="36"/>
      <c r="C7" s="31"/>
      <c r="D7" s="31"/>
      <c r="E7" s="27">
        <f t="shared" si="1"/>
        <v>0</v>
      </c>
      <c r="F7" s="39"/>
      <c r="G7" s="27">
        <f t="shared" si="0"/>
        <v>0</v>
      </c>
      <c r="H7" s="29" t="s">
        <v>44</v>
      </c>
      <c r="I7" s="30">
        <f>G7*VLOOKUP(H7,'Environment Options'!$A$2:$B$6,2,FALSE)</f>
        <v>0</v>
      </c>
      <c r="J7" s="31">
        <v>0</v>
      </c>
      <c r="K7" s="31">
        <v>0</v>
      </c>
      <c r="L7" s="32">
        <f t="shared" si="2"/>
        <v>0</v>
      </c>
      <c r="M7" s="31"/>
      <c r="N7" s="37"/>
      <c r="O7" s="37"/>
      <c r="P7" s="35">
        <f t="shared" si="3"/>
        <v>0</v>
      </c>
      <c r="Q7" s="38"/>
      <c r="R7" s="21"/>
    </row>
    <row r="8" spans="1:18" s="2" customFormat="1" ht="15" x14ac:dyDescent="0.2">
      <c r="A8" s="19"/>
      <c r="B8" s="36"/>
      <c r="C8" s="31"/>
      <c r="D8" s="31"/>
      <c r="E8" s="27">
        <f t="shared" si="1"/>
        <v>0</v>
      </c>
      <c r="F8" s="39"/>
      <c r="G8" s="27">
        <f t="shared" si="0"/>
        <v>0</v>
      </c>
      <c r="H8" s="29" t="s">
        <v>44</v>
      </c>
      <c r="I8" s="30">
        <f>G8*VLOOKUP(H8,'Environment Options'!$A$2:$B$6,2,FALSE)</f>
        <v>0</v>
      </c>
      <c r="J8" s="31">
        <v>0</v>
      </c>
      <c r="K8" s="31">
        <v>0</v>
      </c>
      <c r="L8" s="32">
        <f t="shared" si="2"/>
        <v>0</v>
      </c>
      <c r="M8" s="31"/>
      <c r="N8" s="37"/>
      <c r="O8" s="37"/>
      <c r="P8" s="35">
        <f t="shared" si="3"/>
        <v>0</v>
      </c>
      <c r="Q8" s="38"/>
      <c r="R8" s="21"/>
    </row>
    <row r="9" spans="1:18" s="2" customFormat="1" ht="15" x14ac:dyDescent="0.2">
      <c r="A9" s="19"/>
      <c r="B9" s="36"/>
      <c r="C9" s="31"/>
      <c r="D9" s="31"/>
      <c r="E9" s="27">
        <f t="shared" si="1"/>
        <v>0</v>
      </c>
      <c r="F9" s="31"/>
      <c r="G9" s="27">
        <f t="shared" si="0"/>
        <v>0</v>
      </c>
      <c r="H9" s="29" t="s">
        <v>44</v>
      </c>
      <c r="I9" s="30">
        <f>G9*VLOOKUP(H9,'Environment Options'!$A$2:$B$6,2,FALSE)</f>
        <v>0</v>
      </c>
      <c r="J9" s="31">
        <v>0</v>
      </c>
      <c r="K9" s="31">
        <v>0</v>
      </c>
      <c r="L9" s="32">
        <f>I9 + J9 + K9</f>
        <v>0</v>
      </c>
      <c r="M9" s="31"/>
      <c r="N9" s="37"/>
      <c r="O9" s="37"/>
      <c r="P9" s="35">
        <f>L9/(10^O9)</f>
        <v>0</v>
      </c>
      <c r="Q9" s="38"/>
      <c r="R9" s="21"/>
    </row>
    <row r="10" spans="1:18" s="2" customFormat="1" ht="15" x14ac:dyDescent="0.2">
      <c r="A10" s="19"/>
      <c r="B10" s="36"/>
      <c r="C10" s="31"/>
      <c r="D10" s="31"/>
      <c r="E10" s="27">
        <f t="shared" si="1"/>
        <v>0</v>
      </c>
      <c r="F10" s="31"/>
      <c r="G10" s="27">
        <f t="shared" si="0"/>
        <v>0</v>
      </c>
      <c r="H10" s="29" t="s">
        <v>44</v>
      </c>
      <c r="I10" s="30">
        <f>G10*VLOOKUP(H10,'Environment Options'!$A$2:$B$6,2,FALSE)</f>
        <v>0</v>
      </c>
      <c r="J10" s="31">
        <v>0</v>
      </c>
      <c r="K10" s="31">
        <v>0</v>
      </c>
      <c r="L10" s="32">
        <f t="shared" si="2"/>
        <v>0</v>
      </c>
      <c r="M10" s="31"/>
      <c r="N10" s="37"/>
      <c r="O10" s="37"/>
      <c r="P10" s="35">
        <f t="shared" si="3"/>
        <v>0</v>
      </c>
      <c r="Q10" s="38"/>
      <c r="R10" s="21"/>
    </row>
    <row r="11" spans="1:18" s="2" customFormat="1" ht="15" x14ac:dyDescent="0.2">
      <c r="A11" s="19"/>
      <c r="B11" s="36"/>
      <c r="C11" s="31"/>
      <c r="D11" s="31"/>
      <c r="E11" s="27">
        <f t="shared" si="1"/>
        <v>0</v>
      </c>
      <c r="F11" s="31"/>
      <c r="G11" s="27">
        <f t="shared" si="0"/>
        <v>0</v>
      </c>
      <c r="H11" s="29" t="s">
        <v>44</v>
      </c>
      <c r="I11" s="30">
        <f>G11*VLOOKUP(H11,'Environment Options'!$A$2:$B$6,2,FALSE)</f>
        <v>0</v>
      </c>
      <c r="J11" s="31">
        <v>0</v>
      </c>
      <c r="K11" s="31">
        <v>0</v>
      </c>
      <c r="L11" s="32">
        <f t="shared" si="2"/>
        <v>0</v>
      </c>
      <c r="M11" s="31"/>
      <c r="N11" s="37"/>
      <c r="O11" s="37"/>
      <c r="P11" s="35">
        <f t="shared" si="3"/>
        <v>0</v>
      </c>
      <c r="Q11" s="38"/>
      <c r="R11" s="21"/>
    </row>
    <row r="12" spans="1:18" s="2" customFormat="1" ht="15" x14ac:dyDescent="0.2">
      <c r="A12" s="19"/>
      <c r="B12" s="36"/>
      <c r="C12" s="31"/>
      <c r="D12" s="31"/>
      <c r="E12" s="27">
        <f t="shared" si="1"/>
        <v>0</v>
      </c>
      <c r="F12" s="31"/>
      <c r="G12" s="27">
        <f t="shared" si="0"/>
        <v>0</v>
      </c>
      <c r="H12" s="29" t="s">
        <v>44</v>
      </c>
      <c r="I12" s="30">
        <f>G12*VLOOKUP(H12,'Environment Options'!$A$2:$B$6,2,FALSE)</f>
        <v>0</v>
      </c>
      <c r="J12" s="31">
        <v>0</v>
      </c>
      <c r="K12" s="31">
        <v>0</v>
      </c>
      <c r="L12" s="32">
        <f t="shared" si="2"/>
        <v>0</v>
      </c>
      <c r="M12" s="31"/>
      <c r="N12" s="37"/>
      <c r="O12" s="37"/>
      <c r="P12" s="35">
        <f t="shared" si="3"/>
        <v>0</v>
      </c>
      <c r="Q12" s="38"/>
      <c r="R12" s="21"/>
    </row>
    <row r="13" spans="1:18" s="2" customFormat="1" ht="15" x14ac:dyDescent="0.2">
      <c r="A13" s="19"/>
      <c r="B13" s="36"/>
      <c r="C13" s="31"/>
      <c r="D13" s="31"/>
      <c r="E13" s="27">
        <f t="shared" si="1"/>
        <v>0</v>
      </c>
      <c r="F13" s="31"/>
      <c r="G13" s="27">
        <f t="shared" si="0"/>
        <v>0</v>
      </c>
      <c r="H13" s="29" t="s">
        <v>44</v>
      </c>
      <c r="I13" s="30">
        <f>G13*VLOOKUP(H13,'Environment Options'!$A$2:$B$6,2,FALSE)</f>
        <v>0</v>
      </c>
      <c r="J13" s="31">
        <v>0</v>
      </c>
      <c r="K13" s="31">
        <v>0</v>
      </c>
      <c r="L13" s="32">
        <f t="shared" si="2"/>
        <v>0</v>
      </c>
      <c r="M13" s="31"/>
      <c r="N13" s="37"/>
      <c r="O13" s="37"/>
      <c r="P13" s="35">
        <f t="shared" si="3"/>
        <v>0</v>
      </c>
      <c r="Q13" s="38"/>
      <c r="R13" s="21"/>
    </row>
    <row r="14" spans="1:18" s="2" customFormat="1" ht="15" x14ac:dyDescent="0.2">
      <c r="A14" s="19"/>
      <c r="B14" s="36"/>
      <c r="C14" s="31"/>
      <c r="D14" s="31"/>
      <c r="E14" s="27">
        <f t="shared" si="1"/>
        <v>0</v>
      </c>
      <c r="F14" s="31"/>
      <c r="G14" s="27">
        <f t="shared" si="0"/>
        <v>0</v>
      </c>
      <c r="H14" s="29" t="s">
        <v>44</v>
      </c>
      <c r="I14" s="30">
        <f>G14*VLOOKUP(H14,'Environment Options'!$A$2:$B$6,2,FALSE)</f>
        <v>0</v>
      </c>
      <c r="J14" s="31">
        <v>0</v>
      </c>
      <c r="K14" s="31">
        <v>0</v>
      </c>
      <c r="L14" s="32">
        <f t="shared" si="2"/>
        <v>0</v>
      </c>
      <c r="M14" s="31"/>
      <c r="N14" s="37"/>
      <c r="O14" s="37"/>
      <c r="P14" s="35">
        <f t="shared" si="3"/>
        <v>0</v>
      </c>
      <c r="Q14" s="38"/>
      <c r="R14" s="21"/>
    </row>
    <row r="15" spans="1:18" s="2" customFormat="1" ht="15" x14ac:dyDescent="0.2">
      <c r="A15" s="19"/>
      <c r="B15" s="36"/>
      <c r="C15" s="31"/>
      <c r="D15" s="31"/>
      <c r="E15" s="27">
        <f t="shared" si="1"/>
        <v>0</v>
      </c>
      <c r="F15" s="31"/>
      <c r="G15" s="27">
        <f t="shared" si="0"/>
        <v>0</v>
      </c>
      <c r="H15" s="29" t="s">
        <v>44</v>
      </c>
      <c r="I15" s="30">
        <f>G15*VLOOKUP(H15,'Environment Options'!$A$2:$B$6,2,FALSE)</f>
        <v>0</v>
      </c>
      <c r="J15" s="31">
        <v>0</v>
      </c>
      <c r="K15" s="31">
        <v>0</v>
      </c>
      <c r="L15" s="32">
        <f t="shared" si="2"/>
        <v>0</v>
      </c>
      <c r="M15" s="31"/>
      <c r="N15" s="37"/>
      <c r="O15" s="37"/>
      <c r="P15" s="35">
        <f t="shared" si="3"/>
        <v>0</v>
      </c>
      <c r="Q15" s="38"/>
      <c r="R15" s="21"/>
    </row>
    <row r="16" spans="1:18" s="2" customFormat="1" ht="15" x14ac:dyDescent="0.2">
      <c r="A16" s="19"/>
      <c r="B16" s="36"/>
      <c r="C16" s="31"/>
      <c r="D16" s="31"/>
      <c r="E16" s="27">
        <f t="shared" si="1"/>
        <v>0</v>
      </c>
      <c r="F16" s="31"/>
      <c r="G16" s="27">
        <f t="shared" si="0"/>
        <v>0</v>
      </c>
      <c r="H16" s="29" t="s">
        <v>44</v>
      </c>
      <c r="I16" s="30">
        <f>G16*VLOOKUP(H16,'Environment Options'!$A$2:$B$6,2,FALSE)</f>
        <v>0</v>
      </c>
      <c r="J16" s="31">
        <v>0</v>
      </c>
      <c r="K16" s="31">
        <v>0</v>
      </c>
      <c r="L16" s="32">
        <f t="shared" si="2"/>
        <v>0</v>
      </c>
      <c r="M16" s="31"/>
      <c r="N16" s="37"/>
      <c r="O16" s="37"/>
      <c r="P16" s="35">
        <f t="shared" si="3"/>
        <v>0</v>
      </c>
      <c r="Q16" s="38"/>
      <c r="R16" s="21"/>
    </row>
    <row r="17" spans="1:18" s="2" customFormat="1" ht="15" x14ac:dyDescent="0.2">
      <c r="A17" s="19"/>
      <c r="B17" s="36"/>
      <c r="C17" s="31"/>
      <c r="D17" s="31"/>
      <c r="E17" s="27">
        <f t="shared" si="1"/>
        <v>0</v>
      </c>
      <c r="F17" s="31"/>
      <c r="G17" s="27">
        <f t="shared" si="0"/>
        <v>0</v>
      </c>
      <c r="H17" s="29" t="s">
        <v>44</v>
      </c>
      <c r="I17" s="30">
        <f>G17*VLOOKUP(H17,'Environment Options'!$A$2:$B$6,2,FALSE)</f>
        <v>0</v>
      </c>
      <c r="J17" s="31">
        <v>0</v>
      </c>
      <c r="K17" s="31">
        <v>0</v>
      </c>
      <c r="L17" s="32">
        <f t="shared" si="2"/>
        <v>0</v>
      </c>
      <c r="M17" s="31"/>
      <c r="N17" s="37"/>
      <c r="O17" s="37"/>
      <c r="P17" s="35">
        <f t="shared" si="3"/>
        <v>0</v>
      </c>
      <c r="Q17" s="38"/>
      <c r="R17" s="21"/>
    </row>
    <row r="18" spans="1:18" s="2" customFormat="1" ht="15" x14ac:dyDescent="0.2">
      <c r="A18" s="19"/>
      <c r="B18" s="36"/>
      <c r="C18" s="31"/>
      <c r="D18" s="31"/>
      <c r="E18" s="27">
        <f t="shared" si="1"/>
        <v>0</v>
      </c>
      <c r="F18" s="31"/>
      <c r="G18" s="27">
        <f t="shared" si="0"/>
        <v>0</v>
      </c>
      <c r="H18" s="29" t="s">
        <v>44</v>
      </c>
      <c r="I18" s="30">
        <f>G18*VLOOKUP(H18,'Environment Options'!$A$2:$B$6,2,FALSE)</f>
        <v>0</v>
      </c>
      <c r="J18" s="31">
        <v>0</v>
      </c>
      <c r="K18" s="31">
        <v>0</v>
      </c>
      <c r="L18" s="32">
        <f t="shared" si="2"/>
        <v>0</v>
      </c>
      <c r="M18" s="31"/>
      <c r="N18" s="37"/>
      <c r="O18" s="37"/>
      <c r="P18" s="35">
        <f t="shared" si="3"/>
        <v>0</v>
      </c>
      <c r="Q18" s="38"/>
      <c r="R18" s="21"/>
    </row>
    <row r="19" spans="1:18" s="2" customFormat="1" ht="15" x14ac:dyDescent="0.2">
      <c r="A19" s="19"/>
      <c r="B19" s="36"/>
      <c r="C19" s="31"/>
      <c r="D19" s="31"/>
      <c r="E19" s="27">
        <f t="shared" si="1"/>
        <v>0</v>
      </c>
      <c r="F19" s="31"/>
      <c r="G19" s="27">
        <f t="shared" si="0"/>
        <v>0</v>
      </c>
      <c r="H19" s="29" t="s">
        <v>44</v>
      </c>
      <c r="I19" s="30">
        <f>G19*VLOOKUP(H19,'Environment Options'!$A$2:$B$6,2,FALSE)</f>
        <v>0</v>
      </c>
      <c r="J19" s="31">
        <v>0</v>
      </c>
      <c r="K19" s="31">
        <v>0</v>
      </c>
      <c r="L19" s="32">
        <f t="shared" si="2"/>
        <v>0</v>
      </c>
      <c r="M19" s="31"/>
      <c r="N19" s="37"/>
      <c r="O19" s="37"/>
      <c r="P19" s="35">
        <f t="shared" si="3"/>
        <v>0</v>
      </c>
      <c r="Q19" s="38"/>
      <c r="R19" s="21"/>
    </row>
    <row r="20" spans="1:18" s="2" customFormat="1" ht="15" x14ac:dyDescent="0.2">
      <c r="A20" s="19"/>
      <c r="B20" s="36"/>
      <c r="C20" s="31"/>
      <c r="D20" s="31"/>
      <c r="E20" s="27">
        <f t="shared" si="1"/>
        <v>0</v>
      </c>
      <c r="F20" s="31"/>
      <c r="G20" s="27">
        <f t="shared" si="0"/>
        <v>0</v>
      </c>
      <c r="H20" s="29" t="s">
        <v>44</v>
      </c>
      <c r="I20" s="30">
        <f>G20*VLOOKUP(H20,'Environment Options'!$A$2:$B$6,2,FALSE)</f>
        <v>0</v>
      </c>
      <c r="J20" s="31">
        <v>0</v>
      </c>
      <c r="K20" s="31">
        <v>0</v>
      </c>
      <c r="L20" s="32">
        <f t="shared" si="2"/>
        <v>0</v>
      </c>
      <c r="M20" s="31"/>
      <c r="N20" s="37"/>
      <c r="O20" s="37"/>
      <c r="P20" s="35">
        <f t="shared" si="3"/>
        <v>0</v>
      </c>
      <c r="Q20" s="38"/>
      <c r="R20" s="21"/>
    </row>
    <row r="21" spans="1:18" s="2" customFormat="1" ht="15" x14ac:dyDescent="0.2">
      <c r="A21" s="19"/>
      <c r="B21" s="36"/>
      <c r="C21" s="31"/>
      <c r="D21" s="31"/>
      <c r="E21" s="27">
        <f t="shared" si="1"/>
        <v>0</v>
      </c>
      <c r="F21" s="31"/>
      <c r="G21" s="27">
        <f t="shared" si="0"/>
        <v>0</v>
      </c>
      <c r="H21" s="29" t="s">
        <v>44</v>
      </c>
      <c r="I21" s="30">
        <f>G21*VLOOKUP(H21,'Environment Options'!$A$2:$B$6,2,FALSE)</f>
        <v>0</v>
      </c>
      <c r="J21" s="31">
        <v>0</v>
      </c>
      <c r="K21" s="31">
        <v>0</v>
      </c>
      <c r="L21" s="32">
        <f t="shared" si="2"/>
        <v>0</v>
      </c>
      <c r="M21" s="31"/>
      <c r="N21" s="37"/>
      <c r="O21" s="37"/>
      <c r="P21" s="35">
        <f t="shared" si="3"/>
        <v>0</v>
      </c>
      <c r="Q21" s="38"/>
      <c r="R21" s="21"/>
    </row>
    <row r="22" spans="1:18" ht="15" x14ac:dyDescent="0.2">
      <c r="A22" s="18"/>
      <c r="B22" s="36"/>
      <c r="C22" s="31"/>
      <c r="D22" s="31"/>
      <c r="E22" s="27">
        <f t="shared" si="1"/>
        <v>0</v>
      </c>
      <c r="F22" s="31"/>
      <c r="G22" s="27">
        <f t="shared" si="0"/>
        <v>0</v>
      </c>
      <c r="H22" s="29" t="s">
        <v>44</v>
      </c>
      <c r="I22" s="30">
        <f>G22*VLOOKUP(H22,'Environment Options'!$A$2:$B$6,2,FALSE)</f>
        <v>0</v>
      </c>
      <c r="J22" s="31">
        <v>0</v>
      </c>
      <c r="K22" s="31">
        <v>0</v>
      </c>
      <c r="L22" s="32">
        <f t="shared" si="2"/>
        <v>0</v>
      </c>
      <c r="M22" s="31"/>
      <c r="N22" s="37"/>
      <c r="O22" s="37"/>
      <c r="P22" s="35">
        <f t="shared" si="3"/>
        <v>0</v>
      </c>
      <c r="Q22" s="11"/>
      <c r="R22" s="20"/>
    </row>
    <row r="23" spans="1:18" ht="15" x14ac:dyDescent="0.2">
      <c r="A23" s="18"/>
      <c r="B23" s="36"/>
      <c r="C23" s="31"/>
      <c r="D23" s="31"/>
      <c r="E23" s="27">
        <f t="shared" si="1"/>
        <v>0</v>
      </c>
      <c r="F23" s="31"/>
      <c r="G23" s="27">
        <f t="shared" si="0"/>
        <v>0</v>
      </c>
      <c r="H23" s="29" t="s">
        <v>44</v>
      </c>
      <c r="I23" s="30">
        <f>G23*VLOOKUP(H23,'Environment Options'!$A$2:$B$6,2,FALSE)</f>
        <v>0</v>
      </c>
      <c r="J23" s="31">
        <v>0</v>
      </c>
      <c r="K23" s="31">
        <v>0</v>
      </c>
      <c r="L23" s="32">
        <f t="shared" si="2"/>
        <v>0</v>
      </c>
      <c r="M23" s="31"/>
      <c r="N23" s="37"/>
      <c r="O23" s="37"/>
      <c r="P23" s="35">
        <f t="shared" si="3"/>
        <v>0</v>
      </c>
      <c r="Q23" s="11"/>
      <c r="R23" s="20"/>
    </row>
    <row r="24" spans="1:18" ht="15" x14ac:dyDescent="0.2">
      <c r="A24" s="18"/>
      <c r="B24" s="36"/>
      <c r="C24" s="31"/>
      <c r="D24" s="31"/>
      <c r="E24" s="27">
        <f t="shared" si="1"/>
        <v>0</v>
      </c>
      <c r="F24" s="31"/>
      <c r="G24" s="27">
        <f t="shared" si="0"/>
        <v>0</v>
      </c>
      <c r="H24" s="29" t="s">
        <v>44</v>
      </c>
      <c r="I24" s="30">
        <f>G24*VLOOKUP(H24,'Environment Options'!$A$2:$B$6,2,FALSE)</f>
        <v>0</v>
      </c>
      <c r="J24" s="31">
        <v>0</v>
      </c>
      <c r="K24" s="31">
        <v>0</v>
      </c>
      <c r="L24" s="32">
        <f t="shared" si="2"/>
        <v>0</v>
      </c>
      <c r="M24" s="31"/>
      <c r="N24" s="37"/>
      <c r="O24" s="37"/>
      <c r="P24" s="35">
        <f t="shared" si="3"/>
        <v>0</v>
      </c>
      <c r="Q24" s="11"/>
      <c r="R24" s="20"/>
    </row>
    <row r="25" spans="1:18" ht="15" x14ac:dyDescent="0.2">
      <c r="A25" s="18"/>
      <c r="B25" s="40"/>
      <c r="C25" s="31"/>
      <c r="D25" s="31"/>
      <c r="E25" s="27">
        <f t="shared" si="1"/>
        <v>0</v>
      </c>
      <c r="F25" s="31"/>
      <c r="G25" s="27">
        <f t="shared" si="0"/>
        <v>0</v>
      </c>
      <c r="H25" s="29" t="s">
        <v>44</v>
      </c>
      <c r="I25" s="30">
        <f>G25*VLOOKUP(H25,'Environment Options'!$A$2:$B$6,2,FALSE)</f>
        <v>0</v>
      </c>
      <c r="J25" s="32">
        <v>0</v>
      </c>
      <c r="K25" s="31">
        <v>0</v>
      </c>
      <c r="L25" s="32">
        <f t="shared" si="2"/>
        <v>0</v>
      </c>
      <c r="M25" s="41"/>
      <c r="N25" s="41"/>
      <c r="O25" s="41"/>
      <c r="P25" s="35">
        <f t="shared" si="3"/>
        <v>0</v>
      </c>
      <c r="Q25" s="11"/>
      <c r="R25" s="20"/>
    </row>
    <row r="26" spans="1:18" ht="15" x14ac:dyDescent="0.2">
      <c r="A26" s="18"/>
      <c r="B26" s="40"/>
      <c r="C26" s="31"/>
      <c r="D26" s="31"/>
      <c r="E26" s="27">
        <f t="shared" si="1"/>
        <v>0</v>
      </c>
      <c r="F26" s="28"/>
      <c r="G26" s="27">
        <f t="shared" si="0"/>
        <v>0</v>
      </c>
      <c r="H26" s="29" t="s">
        <v>44</v>
      </c>
      <c r="I26" s="30">
        <f>G26*VLOOKUP(H26,'Environment Options'!$A$2:$B$6,2,FALSE)</f>
        <v>0</v>
      </c>
      <c r="J26" s="32">
        <v>0</v>
      </c>
      <c r="K26" s="31">
        <v>0</v>
      </c>
      <c r="L26" s="32">
        <f t="shared" si="2"/>
        <v>0</v>
      </c>
      <c r="M26" s="41"/>
      <c r="N26" s="41"/>
      <c r="O26" s="41"/>
      <c r="P26" s="35">
        <f t="shared" si="3"/>
        <v>0</v>
      </c>
      <c r="Q26" s="11"/>
      <c r="R26" s="20"/>
    </row>
    <row r="27" spans="1:18" ht="14" x14ac:dyDescent="0.2">
      <c r="A27" s="18"/>
      <c r="B27" s="41"/>
      <c r="C27" s="41"/>
      <c r="D27" s="41"/>
      <c r="E27" s="27">
        <f t="shared" si="1"/>
        <v>0</v>
      </c>
      <c r="F27" s="41"/>
      <c r="G27" s="41"/>
      <c r="H27" s="41"/>
      <c r="I27" s="41"/>
      <c r="J27" s="41"/>
      <c r="K27" s="41"/>
      <c r="L27" s="41"/>
      <c r="M27" s="41"/>
      <c r="N27" s="41"/>
      <c r="O27" s="41"/>
      <c r="P27" s="11"/>
      <c r="Q27" s="11"/>
      <c r="R27" s="20"/>
    </row>
    <row r="28" spans="1:18" ht="14" x14ac:dyDescent="0.2">
      <c r="A28" s="18"/>
      <c r="B28" s="42" t="s">
        <v>30</v>
      </c>
      <c r="C28" s="43"/>
      <c r="D28" s="43"/>
      <c r="E28" s="44">
        <f>SUM(E5:E27)</f>
        <v>0</v>
      </c>
      <c r="F28" s="44"/>
      <c r="G28" s="45">
        <f>SUM(G5:G26)</f>
        <v>0</v>
      </c>
      <c r="H28" s="43"/>
      <c r="I28" s="44">
        <f>SUM(I5:I26)</f>
        <v>0</v>
      </c>
      <c r="J28" s="44">
        <f>SUM(J5:J26)</f>
        <v>0</v>
      </c>
      <c r="K28" s="44">
        <f>SUM(K5:K26)</f>
        <v>0</v>
      </c>
      <c r="L28" s="44">
        <f>SUM(L5:L26)</f>
        <v>0</v>
      </c>
      <c r="M28" s="43"/>
      <c r="N28" s="43"/>
      <c r="O28" s="43"/>
      <c r="P28" s="35">
        <f>SUM(P5:P26)</f>
        <v>0</v>
      </c>
      <c r="Q28" s="43"/>
      <c r="R28" s="20"/>
    </row>
    <row r="29" spans="1:18" ht="16" customHeight="1" x14ac:dyDescent="0.2">
      <c r="A29" s="17"/>
      <c r="B29" s="22"/>
      <c r="C29" s="22"/>
      <c r="D29" s="22"/>
      <c r="E29" s="22"/>
      <c r="F29" s="22"/>
      <c r="G29" s="22"/>
      <c r="H29" s="22"/>
      <c r="I29" s="22"/>
      <c r="J29" s="22"/>
      <c r="K29" s="22"/>
      <c r="L29" s="22"/>
      <c r="M29" s="22"/>
      <c r="N29" s="22"/>
      <c r="O29" s="22"/>
      <c r="P29" s="22"/>
      <c r="Q29" s="22"/>
      <c r="R29" s="17"/>
    </row>
    <row r="30" spans="1:18" ht="14" x14ac:dyDescent="0.2">
      <c r="B30" s="14"/>
      <c r="C30" s="14"/>
      <c r="D30" s="14"/>
      <c r="E30" s="14"/>
      <c r="F30" s="14"/>
      <c r="G30" s="14"/>
      <c r="H30" s="15"/>
      <c r="I30" s="14"/>
      <c r="J30" s="14"/>
      <c r="K30" s="14"/>
      <c r="L30" s="14"/>
      <c r="M30" s="14"/>
      <c r="N30" s="14"/>
      <c r="O30" s="14"/>
      <c r="P30" s="14"/>
      <c r="Q30" s="14"/>
    </row>
    <row r="31" spans="1:18" ht="14" x14ac:dyDescent="0.2">
      <c r="B31" s="11"/>
      <c r="C31" s="11"/>
      <c r="D31" s="11"/>
      <c r="E31" s="11"/>
      <c r="F31" s="11"/>
      <c r="G31" s="11"/>
      <c r="H31" s="11"/>
      <c r="I31" s="11"/>
      <c r="J31" s="11"/>
      <c r="K31" s="11"/>
      <c r="L31" s="11"/>
      <c r="M31" s="11"/>
      <c r="N31" s="11"/>
      <c r="O31" s="11"/>
      <c r="P31" s="11"/>
      <c r="Q31" s="11"/>
    </row>
    <row r="32" spans="1:18" ht="14" x14ac:dyDescent="0.2">
      <c r="B32" s="11"/>
      <c r="C32" s="11"/>
      <c r="D32" s="11"/>
      <c r="E32" s="11"/>
      <c r="F32" s="11"/>
      <c r="G32" s="11"/>
      <c r="H32" s="11"/>
      <c r="I32" s="11"/>
      <c r="J32" s="11"/>
      <c r="K32" s="11"/>
      <c r="L32" s="11"/>
      <c r="M32" s="11"/>
      <c r="N32" s="11"/>
      <c r="O32" s="11"/>
      <c r="P32" s="11"/>
      <c r="Q32" s="11"/>
    </row>
    <row r="33" spans="2:17" ht="14" x14ac:dyDescent="0.2">
      <c r="B33" s="12"/>
      <c r="C33" s="12"/>
      <c r="D33" s="12"/>
      <c r="E33" s="12"/>
      <c r="F33" s="12"/>
      <c r="G33" s="12"/>
      <c r="H33" s="12"/>
      <c r="I33" s="11"/>
      <c r="J33" s="12"/>
      <c r="K33" s="12"/>
      <c r="L33" s="12"/>
      <c r="M33" s="12"/>
      <c r="N33" s="12"/>
      <c r="O33" s="12"/>
      <c r="P33" s="11"/>
      <c r="Q33" s="11"/>
    </row>
    <row r="34" spans="2:17" ht="14" x14ac:dyDescent="0.2">
      <c r="B34" s="12"/>
      <c r="C34" s="12"/>
      <c r="D34" s="12"/>
      <c r="E34" s="12"/>
      <c r="F34" s="12"/>
      <c r="G34" s="12"/>
      <c r="H34" s="12"/>
      <c r="I34" s="11"/>
      <c r="J34" s="12"/>
      <c r="K34" s="12"/>
      <c r="L34" s="12"/>
      <c r="M34" s="12"/>
      <c r="N34" s="12"/>
      <c r="O34" s="12"/>
      <c r="P34" s="11"/>
      <c r="Q34" s="11"/>
    </row>
    <row r="35" spans="2:17" ht="14" x14ac:dyDescent="0.2">
      <c r="B35" s="12"/>
      <c r="C35" s="12"/>
      <c r="D35" s="12"/>
      <c r="E35" s="12"/>
      <c r="F35" s="12"/>
      <c r="G35" s="12"/>
      <c r="H35" s="12"/>
      <c r="I35" s="11"/>
      <c r="J35" s="12"/>
      <c r="K35" s="12"/>
      <c r="L35" s="12"/>
      <c r="M35" s="12"/>
      <c r="N35" s="12"/>
      <c r="O35" s="12"/>
      <c r="P35" s="11"/>
      <c r="Q35" s="11"/>
    </row>
    <row r="36" spans="2:17" ht="14" x14ac:dyDescent="0.2">
      <c r="B36" s="12"/>
      <c r="C36" s="12"/>
      <c r="D36" s="12"/>
      <c r="E36" s="12"/>
      <c r="F36" s="12"/>
      <c r="G36" s="12"/>
      <c r="H36" s="12"/>
      <c r="I36" s="11"/>
      <c r="J36" s="12"/>
      <c r="K36" s="12"/>
      <c r="L36" s="12"/>
      <c r="M36" s="12"/>
      <c r="N36" s="12"/>
      <c r="O36" s="12"/>
      <c r="P36" s="11"/>
      <c r="Q36" s="11"/>
    </row>
    <row r="37" spans="2:17" ht="14" x14ac:dyDescent="0.2">
      <c r="B37" s="12"/>
      <c r="C37" s="12"/>
      <c r="D37" s="12"/>
      <c r="E37" s="12"/>
      <c r="F37" s="12"/>
      <c r="G37" s="12"/>
      <c r="H37" s="12"/>
      <c r="I37" s="11"/>
      <c r="J37" s="12"/>
      <c r="K37" s="12"/>
      <c r="L37" s="12"/>
      <c r="M37" s="12"/>
      <c r="N37" s="12"/>
      <c r="O37" s="12"/>
      <c r="P37" s="11"/>
      <c r="Q37" s="11"/>
    </row>
    <row r="38" spans="2:17" ht="15" x14ac:dyDescent="0.2">
      <c r="B38" s="12"/>
      <c r="C38" s="12"/>
      <c r="D38" s="12"/>
      <c r="E38" s="12"/>
      <c r="F38" s="12"/>
      <c r="G38" s="12"/>
      <c r="H38" s="12"/>
      <c r="I38" s="11"/>
      <c r="J38" s="12" t="s">
        <v>76</v>
      </c>
      <c r="K38" s="12"/>
      <c r="L38" s="12"/>
      <c r="M38" s="12"/>
      <c r="N38" s="12"/>
      <c r="O38" s="12"/>
      <c r="P38" s="11"/>
      <c r="Q38" s="11"/>
    </row>
    <row r="39" spans="2:17" ht="14" x14ac:dyDescent="0.2">
      <c r="B39" s="12"/>
      <c r="C39" s="12"/>
      <c r="D39" s="12"/>
      <c r="E39" s="12"/>
      <c r="F39" s="12"/>
      <c r="G39" s="12"/>
      <c r="H39" s="12"/>
      <c r="I39" s="11"/>
      <c r="J39" s="12"/>
      <c r="K39" s="12"/>
      <c r="L39" s="12"/>
      <c r="M39" s="12"/>
      <c r="N39" s="12"/>
      <c r="O39" s="12"/>
      <c r="P39" s="11"/>
      <c r="Q39" s="11"/>
    </row>
    <row r="40" spans="2:17" ht="14" x14ac:dyDescent="0.2">
      <c r="B40" s="12"/>
      <c r="C40" s="12"/>
      <c r="D40" s="12"/>
      <c r="E40" s="12"/>
      <c r="F40" s="12"/>
      <c r="G40" s="12"/>
      <c r="H40" s="12"/>
      <c r="I40" s="11" t="s">
        <v>76</v>
      </c>
      <c r="J40" s="12"/>
      <c r="K40" s="12"/>
      <c r="L40" s="12"/>
      <c r="M40" s="12"/>
      <c r="N40" s="12"/>
      <c r="O40" s="12"/>
      <c r="P40" s="11"/>
      <c r="Q40" s="11"/>
    </row>
    <row r="41" spans="2:17" ht="14" x14ac:dyDescent="0.2">
      <c r="B41" s="12"/>
      <c r="C41" s="12"/>
      <c r="D41" s="12"/>
      <c r="E41" s="12"/>
      <c r="F41" s="12"/>
      <c r="G41" s="12"/>
      <c r="H41" s="12"/>
      <c r="I41" s="11"/>
      <c r="J41" s="12"/>
      <c r="K41" s="12"/>
      <c r="L41" s="12"/>
      <c r="M41" s="12"/>
      <c r="N41" s="12"/>
      <c r="O41" s="12"/>
      <c r="P41" s="11"/>
      <c r="Q41" s="11"/>
    </row>
    <row r="42" spans="2:17" ht="14" x14ac:dyDescent="0.2">
      <c r="B42" s="11"/>
      <c r="C42" s="11"/>
      <c r="D42" s="11"/>
      <c r="E42" s="11"/>
      <c r="F42" s="11"/>
      <c r="G42" s="11"/>
      <c r="H42" s="11"/>
      <c r="I42" s="11"/>
      <c r="J42" s="11"/>
      <c r="K42" s="11"/>
      <c r="L42" s="11"/>
      <c r="M42" s="11"/>
      <c r="N42" s="11"/>
      <c r="O42" s="11"/>
      <c r="P42" s="11"/>
      <c r="Q42" s="11"/>
    </row>
    <row r="43" spans="2:17" ht="14" x14ac:dyDescent="0.2">
      <c r="B43" s="11"/>
      <c r="C43" s="11"/>
      <c r="D43" s="11"/>
      <c r="E43" s="11"/>
      <c r="F43" s="11"/>
      <c r="G43" s="11"/>
      <c r="H43" s="11"/>
      <c r="I43" s="11"/>
      <c r="J43" s="11"/>
      <c r="K43" s="11"/>
      <c r="L43" s="11"/>
      <c r="M43" s="11"/>
      <c r="N43" s="11"/>
      <c r="O43" s="11"/>
      <c r="P43" s="11"/>
      <c r="Q43" s="11"/>
    </row>
    <row r="44" spans="2:17" ht="14" x14ac:dyDescent="0.2">
      <c r="B44" s="11"/>
      <c r="C44" s="11"/>
      <c r="D44" s="11"/>
      <c r="E44" s="11"/>
      <c r="F44" s="11"/>
      <c r="G44" s="11"/>
      <c r="H44" s="11"/>
      <c r="I44" s="11"/>
      <c r="J44" s="11"/>
      <c r="K44" s="11"/>
      <c r="L44" s="11"/>
      <c r="M44" s="11"/>
      <c r="N44" s="11"/>
      <c r="O44" s="11"/>
      <c r="P44" s="11"/>
      <c r="Q44" s="11"/>
    </row>
    <row r="45" spans="2:17" ht="14" x14ac:dyDescent="0.2">
      <c r="B45" s="11"/>
      <c r="C45" s="11"/>
      <c r="D45" s="11"/>
      <c r="E45" s="11"/>
      <c r="F45" s="11"/>
      <c r="G45" s="11"/>
      <c r="H45" s="11"/>
      <c r="I45" s="11"/>
      <c r="J45" s="11"/>
      <c r="K45" s="11"/>
      <c r="L45" s="11"/>
      <c r="M45" s="11"/>
      <c r="N45" s="11"/>
      <c r="O45" s="11"/>
      <c r="P45" s="11"/>
      <c r="Q45" s="11"/>
    </row>
    <row r="46" spans="2:17" ht="14" x14ac:dyDescent="0.2">
      <c r="B46" s="11"/>
      <c r="C46" s="11"/>
      <c r="D46" s="11"/>
      <c r="E46" s="11"/>
      <c r="F46" s="11"/>
      <c r="G46" s="11"/>
      <c r="H46" s="11"/>
      <c r="I46" s="11"/>
      <c r="J46" s="11"/>
      <c r="K46" s="11"/>
      <c r="L46" s="11"/>
      <c r="M46" s="11"/>
      <c r="N46" s="11"/>
      <c r="O46" s="11"/>
      <c r="P46" s="11"/>
      <c r="Q46" s="11"/>
    </row>
    <row r="47" spans="2:17" ht="14" x14ac:dyDescent="0.2">
      <c r="B47" s="10"/>
      <c r="C47" s="10"/>
      <c r="D47" s="10"/>
      <c r="E47" s="10"/>
      <c r="F47" s="10"/>
      <c r="G47" s="10"/>
      <c r="H47" s="10"/>
      <c r="I47" s="10"/>
      <c r="J47" s="10"/>
      <c r="K47" s="10"/>
      <c r="L47" s="10"/>
      <c r="M47" s="10"/>
      <c r="N47" s="10"/>
      <c r="O47" s="10"/>
      <c r="P47" s="10"/>
      <c r="Q47" s="10"/>
    </row>
  </sheetData>
  <mergeCells count="4">
    <mergeCell ref="B2:Q2"/>
    <mergeCell ref="F3:G3"/>
    <mergeCell ref="I3:L3"/>
    <mergeCell ref="M3:O3"/>
  </mergeCells>
  <conditionalFormatting sqref="P4:P26">
    <cfRule type="expression" dxfId="22" priority="4">
      <formula>IF(P28&gt;500000, 0, 0)</formula>
    </cfRule>
  </conditionalFormatting>
  <conditionalFormatting sqref="P28">
    <cfRule type="cellIs" dxfId="21" priority="1" operator="greaterThan">
      <formula>500000</formula>
    </cfRule>
    <cfRule type="cellIs" dxfId="20" priority="2" operator="lessThan">
      <formula>500000</formula>
    </cfRule>
    <cfRule type="cellIs" dxfId="19" priority="3" operator="greaterThan">
      <formula>500000</formula>
    </cfRule>
  </conditionalFormatting>
  <pageMargins left="1" right="1" top="1" bottom="1" header="0.3" footer="0.3"/>
  <pageSetup orientation="landscape" r:id="rId1"/>
  <headerFooter>
    <oddHeader>&amp;L&amp;10EVM-3 2019 &amp;KFF0000TEMPLATE
&amp;K000000AO &amp;KFF0000TBD&amp;R&amp;10&lt;Proposal Name&gt; &amp;KFF0000PROPOSAL&amp;11 &amp;10SENSITIVE
&amp;K000000Appendix J.9—MEL</oddHeader>
    <oddFooter>&amp;C&amp;8J.9-&amp;P
Use or disclosure of information contained on this sheet is subject to the restriction on the Restrictive Notice page of this proposal.</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C6F3228A-9323-4C85-BD04-D6836AD732B5}">
          <x14:formula1>
            <xm:f>'Environment Options'!$A$2:$A$6</xm:f>
          </x14:formula1>
          <xm:sqref>H5:H26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A5770-2270-457E-978E-46DA7EBE0917}">
  <dimension ref="A1:Q32"/>
  <sheetViews>
    <sheetView zoomScaleNormal="100" workbookViewId="0">
      <selection activeCell="I32" sqref="I32"/>
    </sheetView>
  </sheetViews>
  <sheetFormatPr baseColWidth="10" defaultColWidth="8.83203125" defaultRowHeight="12" x14ac:dyDescent="0.15"/>
  <cols>
    <col min="1" max="1" width="8.83203125" style="1"/>
    <col min="2" max="2" width="22.33203125" style="1" customWidth="1"/>
    <col min="3" max="3" width="13.1640625" style="1" customWidth="1"/>
    <col min="4" max="4" width="18.5" style="1" customWidth="1"/>
    <col min="5" max="5" width="14.5" style="1" customWidth="1"/>
    <col min="6" max="6" width="19.6640625" style="1" customWidth="1"/>
    <col min="7" max="7" width="13.5" style="1" customWidth="1"/>
    <col min="8" max="8" width="14.1640625" style="1" customWidth="1"/>
    <col min="9" max="9" width="18.5" style="1" customWidth="1"/>
    <col min="10" max="10" width="18.83203125" style="1" customWidth="1"/>
    <col min="11" max="11" width="13.5" style="1" customWidth="1"/>
    <col min="12" max="12" width="11.33203125" style="1" customWidth="1"/>
    <col min="13" max="13" width="14" style="1" customWidth="1"/>
    <col min="14" max="14" width="12.1640625" style="1" customWidth="1"/>
    <col min="15" max="15" width="12.83203125" style="1" customWidth="1"/>
    <col min="16" max="16" width="10.1640625" style="1" customWidth="1"/>
    <col min="17" max="17" width="15.1640625" style="1" customWidth="1"/>
    <col min="18" max="16384" width="8.83203125" style="1"/>
  </cols>
  <sheetData>
    <row r="1" spans="1:17" x14ac:dyDescent="0.15">
      <c r="A1" s="17"/>
      <c r="B1" s="16"/>
      <c r="C1" s="16"/>
      <c r="D1" s="16"/>
      <c r="E1" s="16"/>
      <c r="F1" s="16"/>
      <c r="G1" s="16"/>
      <c r="H1" s="16"/>
      <c r="I1" s="16"/>
      <c r="J1" s="16"/>
      <c r="K1" s="16"/>
      <c r="L1" s="16"/>
      <c r="M1" s="16"/>
      <c r="N1" s="16"/>
      <c r="O1" s="16"/>
      <c r="P1" s="17"/>
    </row>
    <row r="2" spans="1:17" ht="15" x14ac:dyDescent="0.2">
      <c r="A2" s="18"/>
      <c r="B2" s="68" t="s">
        <v>45</v>
      </c>
      <c r="C2" s="68"/>
      <c r="D2" s="68"/>
      <c r="E2" s="68"/>
      <c r="F2" s="68"/>
      <c r="G2" s="68"/>
      <c r="H2" s="68"/>
      <c r="I2" s="68"/>
      <c r="J2" s="68"/>
      <c r="K2" s="68"/>
      <c r="L2" s="68"/>
      <c r="M2" s="68"/>
      <c r="N2" s="68"/>
      <c r="O2" s="68"/>
      <c r="P2" s="46"/>
      <c r="Q2" s="13"/>
    </row>
    <row r="3" spans="1:17" ht="30" x14ac:dyDescent="0.2">
      <c r="A3" s="18"/>
      <c r="B3" s="23"/>
      <c r="C3" s="23"/>
      <c r="D3" s="69" t="s">
        <v>10</v>
      </c>
      <c r="E3" s="69"/>
      <c r="F3" s="24" t="s">
        <v>38</v>
      </c>
      <c r="G3" s="69" t="s">
        <v>41</v>
      </c>
      <c r="H3" s="69"/>
      <c r="I3" s="69"/>
      <c r="J3" s="69"/>
      <c r="K3" s="69" t="s">
        <v>36</v>
      </c>
      <c r="L3" s="69"/>
      <c r="M3" s="69"/>
      <c r="N3" s="24" t="s">
        <v>43</v>
      </c>
      <c r="O3" s="23"/>
      <c r="P3" s="46"/>
      <c r="Q3" s="13"/>
    </row>
    <row r="4" spans="1:17" ht="45" x14ac:dyDescent="0.2">
      <c r="A4" s="18"/>
      <c r="B4" s="25" t="s">
        <v>0</v>
      </c>
      <c r="C4" s="25" t="s">
        <v>6</v>
      </c>
      <c r="D4" s="25" t="s">
        <v>42</v>
      </c>
      <c r="E4" s="25" t="s">
        <v>1</v>
      </c>
      <c r="F4" s="25" t="s">
        <v>3</v>
      </c>
      <c r="G4" s="25" t="s">
        <v>9</v>
      </c>
      <c r="H4" s="25" t="s">
        <v>4</v>
      </c>
      <c r="I4" s="25" t="s">
        <v>5</v>
      </c>
      <c r="J4" s="25" t="s">
        <v>7</v>
      </c>
      <c r="K4" s="25" t="s">
        <v>34</v>
      </c>
      <c r="L4" s="25" t="s">
        <v>35</v>
      </c>
      <c r="M4" s="25" t="s">
        <v>37</v>
      </c>
      <c r="N4" s="25" t="s">
        <v>8</v>
      </c>
      <c r="O4" s="25" t="s">
        <v>2</v>
      </c>
      <c r="P4" s="46"/>
      <c r="Q4" s="13"/>
    </row>
    <row r="5" spans="1:17" ht="15" x14ac:dyDescent="0.2">
      <c r="A5" s="18"/>
      <c r="B5" s="26" t="s">
        <v>14</v>
      </c>
      <c r="C5" s="27">
        <v>1</v>
      </c>
      <c r="D5" s="27">
        <f>0.1*0.2263*2+0.1*0.3405*2+0.3405*0.2263*4</f>
        <v>0.42158060000000003</v>
      </c>
      <c r="E5" s="28">
        <f t="shared" ref="E5:E19" si="0">D5*C5</f>
        <v>0.42158060000000003</v>
      </c>
      <c r="F5" s="29" t="s">
        <v>44</v>
      </c>
      <c r="G5" s="30">
        <f>E5*VLOOKUP(F5,'Environment Options'!$A$2:$B$6,2,FALSE)</f>
        <v>42158.060000000005</v>
      </c>
      <c r="H5" s="27">
        <v>0</v>
      </c>
      <c r="I5" s="31">
        <v>0</v>
      </c>
      <c r="J5" s="32">
        <f>G5 + H5 + I5</f>
        <v>42158.060000000005</v>
      </c>
      <c r="K5" s="33"/>
      <c r="L5" s="34"/>
      <c r="M5" s="34"/>
      <c r="N5" s="35">
        <f>J5/(10^M5)</f>
        <v>42158.060000000005</v>
      </c>
      <c r="O5" s="11"/>
      <c r="P5" s="46"/>
      <c r="Q5" s="13"/>
    </row>
    <row r="6" spans="1:17" ht="15" x14ac:dyDescent="0.2">
      <c r="A6" s="18"/>
      <c r="B6" s="36" t="s">
        <v>11</v>
      </c>
      <c r="C6" s="31">
        <v>3</v>
      </c>
      <c r="D6" s="39">
        <f>0.015*0.0155*2 + 0.015*0.046*2 + 0.0155*0.046*2</f>
        <v>3.2709999999999996E-3</v>
      </c>
      <c r="E6" s="28">
        <f t="shared" si="0"/>
        <v>9.8129999999999988E-3</v>
      </c>
      <c r="F6" s="29" t="s">
        <v>44</v>
      </c>
      <c r="G6" s="30">
        <f>E6*VLOOKUP(F6,'Environment Options'!$A$2:$B$6,2,FALSE)</f>
        <v>981.29999999999984</v>
      </c>
      <c r="H6" s="31">
        <v>0</v>
      </c>
      <c r="I6" s="31">
        <v>0</v>
      </c>
      <c r="J6" s="32">
        <f t="shared" ref="J6:J19" si="1">G6 + H6 + I6</f>
        <v>981.29999999999984</v>
      </c>
      <c r="K6" s="31"/>
      <c r="L6" s="37"/>
      <c r="M6" s="37"/>
      <c r="N6" s="35">
        <f t="shared" ref="N6:N19" si="2">J6/(10^M6)</f>
        <v>981.29999999999984</v>
      </c>
      <c r="O6" s="38"/>
      <c r="P6" s="46"/>
      <c r="Q6" s="13"/>
    </row>
    <row r="7" spans="1:17" ht="15" x14ac:dyDescent="0.2">
      <c r="A7" s="18"/>
      <c r="B7" s="36" t="s">
        <v>47</v>
      </c>
      <c r="C7" s="31">
        <v>1</v>
      </c>
      <c r="D7" s="39">
        <f>3.14*(0.0737/2)^2 + 0.0737*3.14*0.0889</f>
        <v>2.4836936850000005E-2</v>
      </c>
      <c r="E7" s="28">
        <f t="shared" si="0"/>
        <v>2.4836936850000005E-2</v>
      </c>
      <c r="F7" s="29" t="s">
        <v>44</v>
      </c>
      <c r="G7" s="30">
        <f>E7*VLOOKUP(F7,'Environment Options'!$A$2:$B$6,2,FALSE)</f>
        <v>2483.6936850000006</v>
      </c>
      <c r="H7" s="31">
        <v>0</v>
      </c>
      <c r="I7" s="31">
        <v>0</v>
      </c>
      <c r="J7" s="32">
        <f t="shared" si="1"/>
        <v>2483.6936850000006</v>
      </c>
      <c r="K7" s="31"/>
      <c r="L7" s="37"/>
      <c r="M7" s="37"/>
      <c r="N7" s="35">
        <f t="shared" si="2"/>
        <v>2483.6936850000006</v>
      </c>
      <c r="O7" s="38"/>
      <c r="P7" s="46"/>
      <c r="Q7" s="13"/>
    </row>
    <row r="8" spans="1:17" ht="15" x14ac:dyDescent="0.2">
      <c r="A8" s="18"/>
      <c r="B8" s="36" t="s">
        <v>46</v>
      </c>
      <c r="C8" s="31">
        <v>1</v>
      </c>
      <c r="D8" s="31">
        <f>0.1*0.094*2</f>
        <v>1.8800000000000001E-2</v>
      </c>
      <c r="E8" s="34">
        <f t="shared" si="0"/>
        <v>1.8800000000000001E-2</v>
      </c>
      <c r="F8" s="29" t="s">
        <v>44</v>
      </c>
      <c r="G8" s="30">
        <f>E8*VLOOKUP(F8,'Environment Options'!$A$2:$B$6,2,FALSE)</f>
        <v>1880</v>
      </c>
      <c r="H8" s="31">
        <v>0</v>
      </c>
      <c r="I8" s="31">
        <v>0</v>
      </c>
      <c r="J8" s="32">
        <f>G8 + H8 + I8</f>
        <v>1880</v>
      </c>
      <c r="K8" s="31"/>
      <c r="L8" s="37"/>
      <c r="M8" s="37"/>
      <c r="N8" s="35">
        <f>J8/(10^M8)</f>
        <v>1880</v>
      </c>
      <c r="O8" s="38"/>
      <c r="P8" s="46"/>
      <c r="Q8" s="13"/>
    </row>
    <row r="9" spans="1:17" ht="15" x14ac:dyDescent="0.2">
      <c r="A9" s="18"/>
      <c r="B9" s="36" t="s">
        <v>13</v>
      </c>
      <c r="C9" s="31">
        <v>1</v>
      </c>
      <c r="D9" s="31">
        <v>0</v>
      </c>
      <c r="E9" s="34">
        <f t="shared" si="0"/>
        <v>0</v>
      </c>
      <c r="F9" s="29" t="s">
        <v>44</v>
      </c>
      <c r="G9" s="30">
        <f>E9*VLOOKUP(F9,'Environment Options'!$A$2:$B$6,2,FALSE)</f>
        <v>0</v>
      </c>
      <c r="H9" s="31">
        <v>0</v>
      </c>
      <c r="I9" s="31">
        <v>0</v>
      </c>
      <c r="J9" s="32">
        <f t="shared" si="1"/>
        <v>0</v>
      </c>
      <c r="K9" s="31"/>
      <c r="L9" s="37"/>
      <c r="M9" s="37"/>
      <c r="N9" s="35">
        <f t="shared" si="2"/>
        <v>0</v>
      </c>
      <c r="O9" s="38"/>
      <c r="P9" s="46"/>
      <c r="Q9" s="13"/>
    </row>
    <row r="10" spans="1:17" ht="15" x14ac:dyDescent="0.2">
      <c r="A10" s="18"/>
      <c r="B10" s="36" t="s">
        <v>16</v>
      </c>
      <c r="C10" s="31">
        <v>1</v>
      </c>
      <c r="D10" s="31">
        <v>0</v>
      </c>
      <c r="E10" s="34">
        <f t="shared" si="0"/>
        <v>0</v>
      </c>
      <c r="F10" s="29" t="s">
        <v>44</v>
      </c>
      <c r="G10" s="30">
        <f>E10*VLOOKUP(F10,'Environment Options'!$A$2:$B$6,2,FALSE)</f>
        <v>0</v>
      </c>
      <c r="H10" s="31">
        <v>100</v>
      </c>
      <c r="I10" s="31">
        <v>0</v>
      </c>
      <c r="J10" s="32">
        <f t="shared" si="1"/>
        <v>100</v>
      </c>
      <c r="K10" s="31"/>
      <c r="L10" s="37"/>
      <c r="M10" s="37"/>
      <c r="N10" s="35">
        <f t="shared" si="2"/>
        <v>100</v>
      </c>
      <c r="O10" s="38"/>
      <c r="P10" s="46"/>
      <c r="Q10" s="13"/>
    </row>
    <row r="11" spans="1:17" ht="15" x14ac:dyDescent="0.2">
      <c r="A11" s="18"/>
      <c r="B11" s="36" t="s">
        <v>48</v>
      </c>
      <c r="C11" s="31">
        <v>4</v>
      </c>
      <c r="D11" s="31">
        <f>0.2088*0.3253*2 + 0.0016*0.2088*2 + 0.0016*0.3253*2</f>
        <v>0.13755440000000002</v>
      </c>
      <c r="E11" s="34">
        <f t="shared" si="0"/>
        <v>0.55021760000000008</v>
      </c>
      <c r="F11" s="29" t="s">
        <v>44</v>
      </c>
      <c r="G11" s="30">
        <f>E11*VLOOKUP(F11,'Environment Options'!$A$2:$B$6,2,FALSE)</f>
        <v>55021.760000000009</v>
      </c>
      <c r="H11" s="31">
        <v>0</v>
      </c>
      <c r="I11" s="31">
        <v>0</v>
      </c>
      <c r="J11" s="32">
        <f t="shared" si="1"/>
        <v>55021.760000000009</v>
      </c>
      <c r="K11" s="31"/>
      <c r="L11" s="37"/>
      <c r="M11" s="37"/>
      <c r="N11" s="35">
        <f t="shared" si="2"/>
        <v>55021.760000000009</v>
      </c>
      <c r="O11" s="38"/>
      <c r="P11" s="46"/>
      <c r="Q11" s="13"/>
    </row>
    <row r="12" spans="1:17" ht="15" x14ac:dyDescent="0.2">
      <c r="A12" s="18"/>
      <c r="B12" s="36" t="s">
        <v>49</v>
      </c>
      <c r="C12" s="31">
        <v>1</v>
      </c>
      <c r="D12" s="31">
        <f>0.09589*0.09017*2 + 0.05694*0.09589*2 + 0.05694*0.09017*2</f>
        <v>3.84813154E-2</v>
      </c>
      <c r="E12" s="34">
        <f t="shared" si="0"/>
        <v>3.84813154E-2</v>
      </c>
      <c r="F12" s="29" t="s">
        <v>44</v>
      </c>
      <c r="G12" s="30">
        <f>E12*VLOOKUP(F12,'Environment Options'!$A$2:$B$6,2,FALSE)</f>
        <v>3848.1315399999999</v>
      </c>
      <c r="H12" s="31">
        <v>0</v>
      </c>
      <c r="I12" s="31">
        <v>0</v>
      </c>
      <c r="J12" s="32">
        <f t="shared" si="1"/>
        <v>3848.1315399999999</v>
      </c>
      <c r="K12" s="31"/>
      <c r="L12" s="37"/>
      <c r="M12" s="37"/>
      <c r="N12" s="35">
        <f t="shared" si="2"/>
        <v>3848.1315399999999</v>
      </c>
      <c r="O12" s="38"/>
      <c r="P12" s="46"/>
      <c r="Q12" s="13"/>
    </row>
    <row r="13" spans="1:17" ht="15" x14ac:dyDescent="0.2">
      <c r="A13" s="18"/>
      <c r="B13" s="36" t="s">
        <v>19</v>
      </c>
      <c r="C13" s="31">
        <v>1</v>
      </c>
      <c r="D13" s="31">
        <f>0.127*0.127*2</f>
        <v>3.2258000000000002E-2</v>
      </c>
      <c r="E13" s="28">
        <f t="shared" si="0"/>
        <v>3.2258000000000002E-2</v>
      </c>
      <c r="F13" s="29" t="s">
        <v>44</v>
      </c>
      <c r="G13" s="30">
        <f>E13*VLOOKUP(F13,'Environment Options'!$A$2:$B$6,2,FALSE)</f>
        <v>3225.8</v>
      </c>
      <c r="H13" s="31">
        <v>0</v>
      </c>
      <c r="I13" s="31">
        <v>0</v>
      </c>
      <c r="J13" s="32">
        <f t="shared" si="1"/>
        <v>3225.8</v>
      </c>
      <c r="K13" s="31"/>
      <c r="L13" s="37"/>
      <c r="M13" s="37"/>
      <c r="N13" s="35">
        <f t="shared" si="2"/>
        <v>3225.8</v>
      </c>
      <c r="O13" s="38"/>
      <c r="P13" s="46"/>
      <c r="Q13" s="13"/>
    </row>
    <row r="14" spans="1:17" ht="15" x14ac:dyDescent="0.2">
      <c r="A14" s="18"/>
      <c r="B14" s="36" t="s">
        <v>50</v>
      </c>
      <c r="C14" s="31">
        <v>0</v>
      </c>
      <c r="D14" s="31">
        <v>0</v>
      </c>
      <c r="E14" s="34">
        <f t="shared" si="0"/>
        <v>0</v>
      </c>
      <c r="F14" s="29" t="s">
        <v>44</v>
      </c>
      <c r="G14" s="30">
        <f>E14*VLOOKUP(F14,'Environment Options'!$A$2:$B$6,2,FALSE)</f>
        <v>0</v>
      </c>
      <c r="H14" s="31">
        <v>0</v>
      </c>
      <c r="I14" s="31">
        <v>0</v>
      </c>
      <c r="J14" s="32">
        <f t="shared" si="1"/>
        <v>0</v>
      </c>
      <c r="K14" s="31"/>
      <c r="L14" s="37"/>
      <c r="M14" s="37"/>
      <c r="N14" s="35">
        <f t="shared" si="2"/>
        <v>0</v>
      </c>
      <c r="O14" s="38"/>
      <c r="P14" s="46"/>
      <c r="Q14" s="13"/>
    </row>
    <row r="15" spans="1:17" ht="15" x14ac:dyDescent="0.2">
      <c r="A15" s="18"/>
      <c r="B15" s="36" t="s">
        <v>51</v>
      </c>
      <c r="C15" s="31">
        <v>1</v>
      </c>
      <c r="D15" s="31">
        <f>0.05*0.1*4 + 0.1*0.1*2</f>
        <v>4.0000000000000008E-2</v>
      </c>
      <c r="E15" s="34">
        <f t="shared" si="0"/>
        <v>4.0000000000000008E-2</v>
      </c>
      <c r="F15" s="29" t="s">
        <v>44</v>
      </c>
      <c r="G15" s="30">
        <f>E15*VLOOKUP(F15,'Environment Options'!$A$2:$B$6,2,FALSE)</f>
        <v>4000.0000000000009</v>
      </c>
      <c r="H15" s="31">
        <v>0</v>
      </c>
      <c r="I15" s="31">
        <v>500</v>
      </c>
      <c r="J15" s="32">
        <f>G15 + I15 +H15</f>
        <v>4500.0000000000009</v>
      </c>
      <c r="K15" s="31"/>
      <c r="L15" s="37"/>
      <c r="M15" s="37"/>
      <c r="N15" s="35">
        <f t="shared" si="2"/>
        <v>4500.0000000000009</v>
      </c>
      <c r="O15" s="38"/>
      <c r="P15" s="46"/>
      <c r="Q15" s="13"/>
    </row>
    <row r="16" spans="1:17" ht="15" x14ac:dyDescent="0.2">
      <c r="A16" s="18"/>
      <c r="B16" s="36" t="s">
        <v>52</v>
      </c>
      <c r="C16" s="31">
        <v>1</v>
      </c>
      <c r="D16" s="31">
        <f>0.1*0.1*2</f>
        <v>2.0000000000000004E-2</v>
      </c>
      <c r="E16" s="34">
        <f t="shared" si="0"/>
        <v>2.0000000000000004E-2</v>
      </c>
      <c r="F16" s="29" t="s">
        <v>44</v>
      </c>
      <c r="G16" s="30">
        <f>E16*VLOOKUP(F16,'Environment Options'!$A$2:$B$6,2,FALSE)</f>
        <v>2000.0000000000005</v>
      </c>
      <c r="H16" s="31">
        <v>0</v>
      </c>
      <c r="I16" s="31">
        <v>400</v>
      </c>
      <c r="J16" s="32">
        <f t="shared" ref="J16:J17" si="3">G16 + I16 +H16</f>
        <v>2400.0000000000005</v>
      </c>
      <c r="K16" s="31"/>
      <c r="L16" s="37"/>
      <c r="M16" s="37"/>
      <c r="N16" s="35">
        <f t="shared" si="2"/>
        <v>2400.0000000000005</v>
      </c>
      <c r="O16" s="38"/>
      <c r="P16" s="20"/>
    </row>
    <row r="17" spans="1:16" ht="15" x14ac:dyDescent="0.2">
      <c r="A17" s="18"/>
      <c r="B17" s="36" t="s">
        <v>26</v>
      </c>
      <c r="C17" s="31">
        <v>1</v>
      </c>
      <c r="D17" s="31">
        <f>0.2*0.2</f>
        <v>4.0000000000000008E-2</v>
      </c>
      <c r="E17" s="34">
        <f t="shared" si="0"/>
        <v>4.0000000000000008E-2</v>
      </c>
      <c r="F17" s="29" t="s">
        <v>44</v>
      </c>
      <c r="G17" s="30">
        <f>E17*VLOOKUP(F17,'Environment Options'!$A$2:$B$6,2,FALSE)</f>
        <v>4000.0000000000009</v>
      </c>
      <c r="H17" s="31">
        <v>0</v>
      </c>
      <c r="I17" s="31">
        <v>100</v>
      </c>
      <c r="J17" s="32">
        <f t="shared" si="3"/>
        <v>4100.0000000000009</v>
      </c>
      <c r="K17" s="31"/>
      <c r="L17" s="37"/>
      <c r="M17" s="37"/>
      <c r="N17" s="35">
        <f t="shared" si="2"/>
        <v>4100.0000000000009</v>
      </c>
      <c r="O17" s="11"/>
      <c r="P17" s="20"/>
    </row>
    <row r="18" spans="1:16" ht="15" x14ac:dyDescent="0.2">
      <c r="A18" s="18"/>
      <c r="B18" s="40" t="s">
        <v>53</v>
      </c>
      <c r="C18" s="31">
        <v>2</v>
      </c>
      <c r="D18" s="31">
        <f>0.033*0.02*2 + 0.033*0.0113*2 + 0.02*0.0113*2</f>
        <v>2.5178000000000002E-3</v>
      </c>
      <c r="E18" s="34">
        <f t="shared" si="0"/>
        <v>5.0356000000000003E-3</v>
      </c>
      <c r="F18" s="29" t="s">
        <v>44</v>
      </c>
      <c r="G18" s="30">
        <f>E18*VLOOKUP(F18,'Environment Options'!$A$2:$B$6,2,FALSE)</f>
        <v>503.56000000000006</v>
      </c>
      <c r="H18" s="32">
        <v>0</v>
      </c>
      <c r="I18" s="31">
        <v>0</v>
      </c>
      <c r="J18" s="32">
        <f t="shared" si="1"/>
        <v>503.56000000000006</v>
      </c>
      <c r="K18" s="41"/>
      <c r="L18" s="41"/>
      <c r="M18" s="41"/>
      <c r="N18" s="35">
        <f t="shared" si="2"/>
        <v>503.56000000000006</v>
      </c>
      <c r="O18" s="11"/>
      <c r="P18" s="20"/>
    </row>
    <row r="19" spans="1:16" ht="15" x14ac:dyDescent="0.2">
      <c r="A19" s="18"/>
      <c r="B19" s="40" t="s">
        <v>54</v>
      </c>
      <c r="C19" s="31">
        <v>6</v>
      </c>
      <c r="D19" s="28">
        <f>0.053*0.032*2 + 0.053*0.014*2 + 0.032*0.014*2</f>
        <v>5.7720000000000002E-3</v>
      </c>
      <c r="E19" s="34">
        <f t="shared" si="0"/>
        <v>3.4632000000000003E-2</v>
      </c>
      <c r="F19" s="29" t="s">
        <v>44</v>
      </c>
      <c r="G19" s="30">
        <f>E19*VLOOKUP(F19,'Environment Options'!$A$2:$B$6,2,FALSE)</f>
        <v>3463.2000000000003</v>
      </c>
      <c r="H19" s="32">
        <v>0</v>
      </c>
      <c r="I19" s="31">
        <v>0</v>
      </c>
      <c r="J19" s="32">
        <f t="shared" si="1"/>
        <v>3463.2000000000003</v>
      </c>
      <c r="K19" s="41"/>
      <c r="L19" s="41"/>
      <c r="M19" s="41"/>
      <c r="N19" s="35">
        <f t="shared" si="2"/>
        <v>3463.2000000000003</v>
      </c>
      <c r="O19" s="11"/>
      <c r="P19" s="20"/>
    </row>
    <row r="20" spans="1:16" ht="14" x14ac:dyDescent="0.2">
      <c r="A20" s="18"/>
      <c r="B20" s="41"/>
      <c r="C20" s="41"/>
      <c r="D20" s="41"/>
      <c r="E20" s="41"/>
      <c r="F20" s="41"/>
      <c r="G20" s="41"/>
      <c r="H20" s="41"/>
      <c r="I20" s="41"/>
      <c r="J20" s="41"/>
      <c r="K20" s="41"/>
      <c r="L20" s="41"/>
      <c r="M20" s="41"/>
      <c r="N20" s="11"/>
      <c r="O20" s="11"/>
      <c r="P20" s="20"/>
    </row>
    <row r="21" spans="1:16" ht="14" x14ac:dyDescent="0.2">
      <c r="A21" s="18"/>
      <c r="B21" s="42" t="s">
        <v>30</v>
      </c>
      <c r="C21" s="43"/>
      <c r="D21" s="44"/>
      <c r="E21" s="45">
        <f>SUM(E5:E19)</f>
        <v>1.2356550522500003</v>
      </c>
      <c r="F21" s="43"/>
      <c r="G21" s="44">
        <f>SUM(G5:G19)</f>
        <v>123565.50522500002</v>
      </c>
      <c r="H21" s="44">
        <f>SUM(H5:H19)</f>
        <v>100</v>
      </c>
      <c r="I21" s="44">
        <f>SUM(I5:I19)</f>
        <v>1000</v>
      </c>
      <c r="J21" s="44">
        <f>SUM(J5:J19)</f>
        <v>124665.50522500002</v>
      </c>
      <c r="K21" s="43"/>
      <c r="L21" s="43"/>
      <c r="M21" s="43"/>
      <c r="N21" s="35">
        <f>SUM(N5:N19)</f>
        <v>124665.50522500002</v>
      </c>
      <c r="O21" s="43"/>
      <c r="P21" s="20"/>
    </row>
    <row r="22" spans="1:16" x14ac:dyDescent="0.15">
      <c r="A22" s="17"/>
      <c r="B22" s="47"/>
      <c r="C22" s="47"/>
      <c r="D22" s="47"/>
      <c r="E22" s="47"/>
      <c r="F22" s="47"/>
      <c r="G22" s="47"/>
      <c r="H22" s="47"/>
      <c r="I22" s="47"/>
      <c r="J22" s="47"/>
      <c r="K22" s="47"/>
      <c r="L22" s="47"/>
      <c r="M22" s="47"/>
      <c r="N22" s="47"/>
      <c r="O22" s="47"/>
      <c r="P22" s="17"/>
    </row>
    <row r="24" spans="1:16" x14ac:dyDescent="0.15">
      <c r="B24" s="70" t="s">
        <v>84</v>
      </c>
      <c r="C24" s="71"/>
      <c r="D24" s="71"/>
      <c r="E24" s="71"/>
      <c r="F24" s="72"/>
    </row>
    <row r="25" spans="1:16" x14ac:dyDescent="0.15">
      <c r="B25" s="73"/>
      <c r="C25" s="74"/>
      <c r="D25" s="74"/>
      <c r="E25" s="74"/>
      <c r="F25" s="75"/>
    </row>
    <row r="26" spans="1:16" x14ac:dyDescent="0.15">
      <c r="B26" s="73"/>
      <c r="C26" s="74"/>
      <c r="D26" s="74"/>
      <c r="E26" s="74"/>
      <c r="F26" s="75"/>
    </row>
    <row r="27" spans="1:16" x14ac:dyDescent="0.15">
      <c r="B27" s="73"/>
      <c r="C27" s="74"/>
      <c r="D27" s="74"/>
      <c r="E27" s="74"/>
      <c r="F27" s="75"/>
    </row>
    <row r="28" spans="1:16" x14ac:dyDescent="0.15">
      <c r="B28" s="73"/>
      <c r="C28" s="74"/>
      <c r="D28" s="74"/>
      <c r="E28" s="74"/>
      <c r="F28" s="75"/>
    </row>
    <row r="29" spans="1:16" x14ac:dyDescent="0.15">
      <c r="B29" s="73"/>
      <c r="C29" s="74"/>
      <c r="D29" s="74"/>
      <c r="E29" s="74"/>
      <c r="F29" s="75"/>
    </row>
    <row r="30" spans="1:16" x14ac:dyDescent="0.15">
      <c r="B30" s="73"/>
      <c r="C30" s="74"/>
      <c r="D30" s="74"/>
      <c r="E30" s="74"/>
      <c r="F30" s="75"/>
    </row>
    <row r="31" spans="1:16" x14ac:dyDescent="0.15">
      <c r="B31" s="73"/>
      <c r="C31" s="74"/>
      <c r="D31" s="74"/>
      <c r="E31" s="74"/>
      <c r="F31" s="75"/>
    </row>
    <row r="32" spans="1:16" x14ac:dyDescent="0.15">
      <c r="B32" s="76"/>
      <c r="C32" s="77"/>
      <c r="D32" s="77"/>
      <c r="E32" s="77"/>
      <c r="F32" s="78"/>
    </row>
  </sheetData>
  <mergeCells count="5">
    <mergeCell ref="D3:E3"/>
    <mergeCell ref="G3:J3"/>
    <mergeCell ref="K3:M3"/>
    <mergeCell ref="B2:O2"/>
    <mergeCell ref="B24:F32"/>
  </mergeCells>
  <conditionalFormatting sqref="N4:N5">
    <cfRule type="expression" dxfId="18" priority="7">
      <formula>IF(N21&gt;500000, 0, 0)</formula>
    </cfRule>
  </conditionalFormatting>
  <conditionalFormatting sqref="N6:N9">
    <cfRule type="expression" dxfId="17" priority="5">
      <formula>IF(N24&gt;500000, 0, 0)</formula>
    </cfRule>
  </conditionalFormatting>
  <conditionalFormatting sqref="N10:N16">
    <cfRule type="expression" dxfId="16" priority="6">
      <formula>IF(N31&gt;500000, 0, 0)</formula>
    </cfRule>
  </conditionalFormatting>
  <conditionalFormatting sqref="N17:N19">
    <cfRule type="expression" dxfId="15" priority="4">
      <formula>IF(N41&gt;500000, 0, 0)</formula>
    </cfRule>
  </conditionalFormatting>
  <conditionalFormatting sqref="N21">
    <cfRule type="cellIs" dxfId="14" priority="1" operator="greaterThan">
      <formula>500000</formula>
    </cfRule>
    <cfRule type="cellIs" dxfId="13" priority="2" operator="lessThan">
      <formula>500000</formula>
    </cfRule>
    <cfRule type="cellIs" dxfId="12" priority="3" operator="greaterThan">
      <formula>500000</formula>
    </cfRule>
  </conditionalFormatting>
  <pageMargins left="1" right="1" top="1" bottom="1" header="0.3" footer="0.3"/>
  <pageSetup orientation="landscape" r:id="rId1"/>
  <headerFooter>
    <oddHeader>&amp;L&amp;10EVM-3 2019 &amp;KFF0000TEMPLATE
&amp;K000000AO &amp;KFF0000TBD&amp;R&amp;10&lt;Proposal Name&gt; &amp;KFF0000PROPOSAL&amp;11 &amp;10SENSITIVE
&amp;K000000Appendix J.9—MEL</oddHeader>
    <oddFooter>&amp;C&amp;8J.9-&amp;P
Use or disclosure of information contained on this sheet is subject to the restriction on the Restrictive Notice page of this proposal.</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F8BF8E00-5E40-40B1-8800-1493D8C61BE7}">
          <x14:formula1>
            <xm:f>'Environment Options'!$A$2:$A$6</xm:f>
          </x14:formula1>
          <xm:sqref>F5:F19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4E0B8-71EB-4D3B-B772-454FF3238E72}">
  <dimension ref="A1:AC56"/>
  <sheetViews>
    <sheetView zoomScaleNormal="100" workbookViewId="0">
      <selection activeCell="E43" sqref="E43"/>
    </sheetView>
  </sheetViews>
  <sheetFormatPr baseColWidth="10" defaultColWidth="8.83203125" defaultRowHeight="12" x14ac:dyDescent="0.15"/>
  <cols>
    <col min="1" max="1" width="6.1640625" style="1" customWidth="1"/>
    <col min="2" max="2" width="26.5" style="1" customWidth="1"/>
    <col min="3" max="3" width="13.1640625" style="1" customWidth="1"/>
    <col min="4" max="4" width="18.5" style="1" customWidth="1"/>
    <col min="5" max="5" width="14.5" style="1" customWidth="1"/>
    <col min="6" max="6" width="22.1640625" style="1" customWidth="1"/>
    <col min="7" max="7" width="13.5" style="1" customWidth="1"/>
    <col min="8" max="8" width="14.1640625" style="1" customWidth="1"/>
    <col min="9" max="9" width="18.5" style="1" customWidth="1"/>
    <col min="10" max="10" width="18.83203125" style="1" customWidth="1"/>
    <col min="11" max="11" width="13.5" style="1" customWidth="1"/>
    <col min="12" max="12" width="11.33203125" style="1" customWidth="1"/>
    <col min="13" max="13" width="14" style="1" customWidth="1"/>
    <col min="14" max="14" width="12.1640625" style="1" customWidth="1"/>
    <col min="15" max="15" width="12.83203125" style="1" customWidth="1"/>
    <col min="16" max="16" width="4.83203125" style="1" customWidth="1"/>
    <col min="17" max="17" width="15.1640625" style="1" customWidth="1"/>
    <col min="18" max="16384" width="8.83203125" style="1"/>
  </cols>
  <sheetData>
    <row r="1" spans="1:29" x14ac:dyDescent="0.15">
      <c r="A1" s="17"/>
      <c r="B1" s="16"/>
      <c r="C1" s="16"/>
      <c r="D1" s="16"/>
      <c r="E1" s="16"/>
      <c r="F1" s="16"/>
      <c r="G1" s="16"/>
      <c r="H1" s="16"/>
      <c r="I1" s="16"/>
      <c r="J1" s="16"/>
      <c r="K1" s="16"/>
      <c r="L1" s="16"/>
      <c r="M1" s="16"/>
      <c r="N1" s="16"/>
      <c r="O1" s="16"/>
      <c r="P1" s="17"/>
    </row>
    <row r="2" spans="1:29" ht="15" x14ac:dyDescent="0.2">
      <c r="A2" s="18"/>
      <c r="B2" s="68" t="s">
        <v>58</v>
      </c>
      <c r="C2" s="68"/>
      <c r="D2" s="68"/>
      <c r="E2" s="68"/>
      <c r="F2" s="68"/>
      <c r="G2" s="68"/>
      <c r="H2" s="68"/>
      <c r="I2" s="68"/>
      <c r="J2" s="68"/>
      <c r="K2" s="68"/>
      <c r="L2" s="68"/>
      <c r="M2" s="68"/>
      <c r="N2" s="68"/>
      <c r="O2" s="68"/>
      <c r="P2" s="46"/>
      <c r="Q2" s="49"/>
      <c r="R2" s="5"/>
      <c r="S2" s="5"/>
      <c r="T2" s="5"/>
      <c r="U2" s="5"/>
      <c r="V2" s="5"/>
      <c r="W2" s="5"/>
      <c r="X2" s="5"/>
      <c r="Y2" s="5"/>
      <c r="Z2" s="5"/>
      <c r="AA2" s="5"/>
      <c r="AB2" s="5"/>
      <c r="AC2" s="5"/>
    </row>
    <row r="3" spans="1:29" ht="30" x14ac:dyDescent="0.2">
      <c r="A3" s="18"/>
      <c r="B3" s="23"/>
      <c r="C3" s="23"/>
      <c r="D3" s="69" t="s">
        <v>10</v>
      </c>
      <c r="E3" s="69"/>
      <c r="F3" s="24" t="s">
        <v>38</v>
      </c>
      <c r="G3" s="69" t="s">
        <v>41</v>
      </c>
      <c r="H3" s="69"/>
      <c r="I3" s="69"/>
      <c r="J3" s="69"/>
      <c r="K3" s="69" t="s">
        <v>36</v>
      </c>
      <c r="L3" s="69"/>
      <c r="M3" s="69"/>
      <c r="N3" s="24" t="s">
        <v>43</v>
      </c>
      <c r="O3" s="23"/>
      <c r="P3" s="46"/>
      <c r="Q3" s="49"/>
      <c r="R3" s="5"/>
      <c r="S3" s="5"/>
      <c r="T3" s="5"/>
      <c r="U3" s="5"/>
      <c r="V3" s="5"/>
      <c r="W3" s="5"/>
      <c r="X3" s="5"/>
      <c r="Y3" s="5"/>
      <c r="Z3" s="5"/>
      <c r="AA3" s="5"/>
      <c r="AB3" s="5"/>
      <c r="AC3" s="5"/>
    </row>
    <row r="4" spans="1:29" ht="45" x14ac:dyDescent="0.2">
      <c r="A4" s="18"/>
      <c r="B4" s="25" t="s">
        <v>0</v>
      </c>
      <c r="C4" s="25" t="s">
        <v>6</v>
      </c>
      <c r="D4" s="25" t="s">
        <v>42</v>
      </c>
      <c r="E4" s="25" t="s">
        <v>1</v>
      </c>
      <c r="F4" s="25" t="s">
        <v>3</v>
      </c>
      <c r="G4" s="25" t="s">
        <v>9</v>
      </c>
      <c r="H4" s="25" t="s">
        <v>4</v>
      </c>
      <c r="I4" s="25" t="s">
        <v>5</v>
      </c>
      <c r="J4" s="25" t="s">
        <v>7</v>
      </c>
      <c r="K4" s="25" t="s">
        <v>34</v>
      </c>
      <c r="L4" s="25" t="s">
        <v>35</v>
      </c>
      <c r="M4" s="25" t="s">
        <v>37</v>
      </c>
      <c r="N4" s="25" t="s">
        <v>8</v>
      </c>
      <c r="O4" s="25" t="s">
        <v>2</v>
      </c>
      <c r="P4" s="46"/>
      <c r="Q4" s="49"/>
      <c r="R4" s="5"/>
      <c r="S4" s="5"/>
      <c r="T4" s="5"/>
      <c r="U4" s="5"/>
      <c r="V4" s="5"/>
      <c r="W4" s="5"/>
      <c r="X4" s="5"/>
      <c r="Y4" s="5"/>
      <c r="Z4" s="5"/>
      <c r="AA4" s="5"/>
      <c r="AB4" s="5"/>
      <c r="AC4" s="5"/>
    </row>
    <row r="5" spans="1:29" s="3" customFormat="1" ht="15" x14ac:dyDescent="0.2">
      <c r="A5" s="56"/>
      <c r="B5" s="26" t="s">
        <v>56</v>
      </c>
      <c r="C5" s="27">
        <v>1</v>
      </c>
      <c r="D5" s="27">
        <f>2*(0.2*0.4*4 + 0.2*0.1*4 + 0.4*0.1*4)</f>
        <v>1.1200000000000001</v>
      </c>
      <c r="E5" s="27">
        <f t="shared" ref="E5:E25" si="0">D5*C5</f>
        <v>1.1200000000000001</v>
      </c>
      <c r="F5" s="29" t="s">
        <v>44</v>
      </c>
      <c r="G5" s="30">
        <f>E5*VLOOKUP(F5,'Environment Options'!$A$2:$B$6,2,FALSE)</f>
        <v>112000.00000000001</v>
      </c>
      <c r="H5" s="27">
        <v>0</v>
      </c>
      <c r="I5" s="31">
        <v>0</v>
      </c>
      <c r="J5" s="32">
        <f>G5 + H5 + I5</f>
        <v>112000.00000000001</v>
      </c>
      <c r="K5" s="33"/>
      <c r="L5" s="34"/>
      <c r="M5" s="34"/>
      <c r="N5" s="61">
        <f>J5/(10^M5)</f>
        <v>112000.00000000001</v>
      </c>
      <c r="O5" s="62"/>
      <c r="P5" s="58"/>
      <c r="Q5" s="50"/>
      <c r="R5" s="4"/>
      <c r="S5" s="4"/>
      <c r="T5" s="4"/>
      <c r="U5" s="4"/>
      <c r="V5" s="4"/>
      <c r="W5" s="4"/>
      <c r="X5" s="4"/>
      <c r="Y5" s="4"/>
      <c r="Z5" s="4"/>
      <c r="AA5" s="4"/>
      <c r="AB5" s="4"/>
      <c r="AC5" s="4"/>
    </row>
    <row r="6" spans="1:29" s="3" customFormat="1" ht="15" x14ac:dyDescent="0.2">
      <c r="A6" s="56"/>
      <c r="B6" s="36" t="s">
        <v>73</v>
      </c>
      <c r="C6" s="31">
        <v>4</v>
      </c>
      <c r="D6" s="31">
        <f>(0.094/2)*3.14159*2 + 0.094*3.14159*0.161</f>
        <v>0.34285428305999999</v>
      </c>
      <c r="E6" s="27">
        <f t="shared" si="0"/>
        <v>1.3714171322399999</v>
      </c>
      <c r="F6" s="29" t="s">
        <v>44</v>
      </c>
      <c r="G6" s="30">
        <f>E6*VLOOKUP(F6,'Environment Options'!$A$2:$B$6,2,FALSE)</f>
        <v>137141.71322400001</v>
      </c>
      <c r="H6" s="31">
        <v>0</v>
      </c>
      <c r="I6" s="31">
        <v>0</v>
      </c>
      <c r="J6" s="32">
        <f t="shared" ref="J6:J7" si="1">G6 + H6 + I6</f>
        <v>137141.71322400001</v>
      </c>
      <c r="K6" s="31"/>
      <c r="L6" s="29"/>
      <c r="M6" s="29"/>
      <c r="N6" s="61">
        <f t="shared" ref="N6:N7" si="2">J6/(10^M6)</f>
        <v>137141.71322400001</v>
      </c>
      <c r="O6" s="63"/>
      <c r="P6" s="58"/>
      <c r="Q6" s="50"/>
      <c r="R6" s="4"/>
      <c r="S6" s="4"/>
      <c r="T6" s="4"/>
      <c r="U6" s="4"/>
      <c r="V6" s="4"/>
      <c r="W6" s="4"/>
      <c r="X6" s="4"/>
      <c r="Y6" s="4"/>
      <c r="Z6" s="4"/>
      <c r="AA6" s="4"/>
      <c r="AB6" s="4"/>
      <c r="AC6" s="4"/>
    </row>
    <row r="7" spans="1:29" s="3" customFormat="1" ht="15" x14ac:dyDescent="0.2">
      <c r="A7" s="56"/>
      <c r="B7" s="36" t="s">
        <v>74</v>
      </c>
      <c r="C7" s="31">
        <v>1</v>
      </c>
      <c r="D7" s="62">
        <f>0.1*0.1*8 + 0.05*0.1*7</f>
        <v>0.11500000000000002</v>
      </c>
      <c r="E7" s="27">
        <f t="shared" si="0"/>
        <v>0.11500000000000002</v>
      </c>
      <c r="F7" s="29" t="s">
        <v>44</v>
      </c>
      <c r="G7" s="30">
        <f>E7*VLOOKUP(F7,'Environment Options'!$A$2:$B$6,2,FALSE)</f>
        <v>11500.000000000002</v>
      </c>
      <c r="H7" s="31">
        <v>0</v>
      </c>
      <c r="I7" s="31">
        <v>0</v>
      </c>
      <c r="J7" s="32">
        <f t="shared" si="1"/>
        <v>11500.000000000002</v>
      </c>
      <c r="K7" s="31"/>
      <c r="L7" s="29"/>
      <c r="M7" s="29"/>
      <c r="N7" s="61">
        <f t="shared" si="2"/>
        <v>11500.000000000002</v>
      </c>
      <c r="O7" s="63"/>
      <c r="P7" s="58"/>
      <c r="Q7" s="50"/>
      <c r="R7" s="4"/>
      <c r="S7" s="4"/>
      <c r="T7" s="4"/>
      <c r="U7" s="4"/>
      <c r="V7" s="4"/>
      <c r="W7" s="4"/>
      <c r="X7" s="4"/>
      <c r="Y7" s="4"/>
      <c r="Z7" s="4"/>
      <c r="AA7" s="4"/>
      <c r="AB7" s="4"/>
      <c r="AC7" s="4"/>
    </row>
    <row r="8" spans="1:29" s="3" customFormat="1" ht="15" x14ac:dyDescent="0.2">
      <c r="A8" s="56"/>
      <c r="B8" s="36" t="s">
        <v>48</v>
      </c>
      <c r="C8" s="31">
        <v>2</v>
      </c>
      <c r="D8" s="39">
        <f xml:space="preserve"> 0.003018*4*2</f>
        <v>2.4143999999999999E-2</v>
      </c>
      <c r="E8" s="27">
        <f t="shared" si="0"/>
        <v>4.8287999999999998E-2</v>
      </c>
      <c r="F8" s="29" t="s">
        <v>39</v>
      </c>
      <c r="G8" s="30">
        <f>E8*VLOOKUP(F8,'Environment Options'!$A$2:$B$6,2,FALSE)</f>
        <v>482.88</v>
      </c>
      <c r="H8" s="31">
        <f>0.3018*0.2*130*C8</f>
        <v>15.693600000000002</v>
      </c>
      <c r="I8" s="31">
        <v>0</v>
      </c>
      <c r="J8" s="32">
        <f t="shared" ref="J8:J25" si="3">G8 + H8 + I8</f>
        <v>498.5736</v>
      </c>
      <c r="K8" s="31"/>
      <c r="L8" s="29"/>
      <c r="M8" s="29"/>
      <c r="N8" s="61">
        <f t="shared" ref="N8:N25" si="4">J8/(10^M8)</f>
        <v>498.5736</v>
      </c>
      <c r="O8" s="63"/>
      <c r="P8" s="58"/>
      <c r="Q8" s="50"/>
      <c r="R8" s="4"/>
      <c r="S8" s="4"/>
      <c r="T8" s="4"/>
      <c r="U8" s="4"/>
      <c r="V8" s="4"/>
      <c r="W8" s="4"/>
      <c r="X8" s="4"/>
      <c r="Y8" s="4"/>
      <c r="Z8" s="4"/>
      <c r="AA8" s="4"/>
      <c r="AB8" s="4"/>
      <c r="AC8" s="4"/>
    </row>
    <row r="9" spans="1:29" s="3" customFormat="1" ht="15" x14ac:dyDescent="0.2">
      <c r="A9" s="56"/>
      <c r="B9" s="36" t="s">
        <v>49</v>
      </c>
      <c r="C9" s="31">
        <v>2</v>
      </c>
      <c r="D9" s="39">
        <f>0.093*0.086*2 + 0.093*0.041*2 + 0.086*0.041*2</f>
        <v>3.0674E-2</v>
      </c>
      <c r="E9" s="27">
        <f t="shared" si="0"/>
        <v>6.1348E-2</v>
      </c>
      <c r="F9" s="29" t="s">
        <v>44</v>
      </c>
      <c r="G9" s="30">
        <f>E9*VLOOKUP(F9,'Environment Options'!$A$2:$B$6,2,FALSE)</f>
        <v>6134.8</v>
      </c>
      <c r="H9" s="31">
        <f>9.3*8.6*4.1*130*0.5*C9</f>
        <v>42629.340000000004</v>
      </c>
      <c r="I9" s="31">
        <v>0</v>
      </c>
      <c r="J9" s="32">
        <f>G9 + H9 + I9</f>
        <v>48764.140000000007</v>
      </c>
      <c r="K9" s="31"/>
      <c r="L9" s="29"/>
      <c r="M9" s="29"/>
      <c r="N9" s="61">
        <f>J9/(10^M9)</f>
        <v>48764.140000000007</v>
      </c>
      <c r="O9" s="63"/>
      <c r="P9" s="58"/>
      <c r="Q9" s="50"/>
      <c r="R9" s="4"/>
      <c r="S9" s="4"/>
      <c r="T9" s="4"/>
      <c r="U9" s="4"/>
      <c r="V9" s="4"/>
      <c r="W9" s="4"/>
      <c r="X9" s="4"/>
      <c r="Y9" s="4"/>
      <c r="Z9" s="4"/>
      <c r="AA9" s="4"/>
      <c r="AB9" s="4"/>
      <c r="AC9" s="4"/>
    </row>
    <row r="10" spans="1:29" s="3" customFormat="1" ht="15" x14ac:dyDescent="0.2">
      <c r="A10" s="56"/>
      <c r="B10" s="36" t="s">
        <v>59</v>
      </c>
      <c r="C10" s="31">
        <v>2</v>
      </c>
      <c r="D10" s="31">
        <f>0.0653*0.04*2+0.0653*0.0123*2+0.04*0.0123*2</f>
        <v>7.8143799999999992E-3</v>
      </c>
      <c r="E10" s="27">
        <f t="shared" si="0"/>
        <v>1.5628759999999998E-2</v>
      </c>
      <c r="F10" s="29" t="s">
        <v>39</v>
      </c>
      <c r="G10" s="30">
        <f>E10*VLOOKUP(F10,'Environment Options'!$A$2:$B$6,2,FALSE)</f>
        <v>156.2876</v>
      </c>
      <c r="H10" s="31">
        <v>0</v>
      </c>
      <c r="I10" s="31">
        <f>6.53*4*1.23*75*C10</f>
        <v>4819.1400000000003</v>
      </c>
      <c r="J10" s="32">
        <f t="shared" si="3"/>
        <v>4975.4276</v>
      </c>
      <c r="K10" s="31"/>
      <c r="L10" s="29"/>
      <c r="M10" s="29"/>
      <c r="N10" s="61">
        <f t="shared" si="4"/>
        <v>4975.4276</v>
      </c>
      <c r="O10" s="63"/>
      <c r="P10" s="58"/>
      <c r="Q10" s="50"/>
      <c r="R10" s="4"/>
      <c r="S10" s="4"/>
      <c r="T10" s="4"/>
      <c r="U10" s="4"/>
      <c r="V10" s="4"/>
      <c r="W10" s="4"/>
      <c r="X10" s="4"/>
      <c r="Y10" s="4"/>
      <c r="Z10" s="4"/>
      <c r="AA10" s="4"/>
      <c r="AB10" s="4"/>
      <c r="AC10" s="4"/>
    </row>
    <row r="11" spans="1:29" s="3" customFormat="1" ht="15" x14ac:dyDescent="0.2">
      <c r="A11" s="56"/>
      <c r="B11" s="36" t="s">
        <v>60</v>
      </c>
      <c r="C11" s="31">
        <v>2</v>
      </c>
      <c r="D11" s="31">
        <f>0.0656*0.0401*2+0.0656*0.0047*2+0.0401*0.0047*2</f>
        <v>6.2547000000000002E-3</v>
      </c>
      <c r="E11" s="27">
        <f t="shared" si="0"/>
        <v>1.25094E-2</v>
      </c>
      <c r="F11" s="29" t="s">
        <v>39</v>
      </c>
      <c r="G11" s="30">
        <f>E11*VLOOKUP(F11,'Environment Options'!$A$2:$B$6,2,FALSE)</f>
        <v>125.09400000000001</v>
      </c>
      <c r="H11" s="31">
        <v>0</v>
      </c>
      <c r="I11" s="31">
        <f>6.56*4.01*0.47*75*C11</f>
        <v>1854.5447999999999</v>
      </c>
      <c r="J11" s="32">
        <f t="shared" si="3"/>
        <v>1979.6387999999999</v>
      </c>
      <c r="K11" s="31"/>
      <c r="L11" s="29"/>
      <c r="M11" s="29"/>
      <c r="N11" s="61">
        <f t="shared" si="4"/>
        <v>1979.6387999999999</v>
      </c>
      <c r="O11" s="63"/>
      <c r="P11" s="58"/>
      <c r="Q11" s="50"/>
      <c r="R11" s="4"/>
      <c r="S11" s="4"/>
      <c r="T11" s="4"/>
      <c r="U11" s="4"/>
      <c r="V11" s="4"/>
      <c r="W11" s="4"/>
      <c r="X11" s="4"/>
      <c r="Y11" s="4"/>
      <c r="Z11" s="4"/>
      <c r="AA11" s="4"/>
      <c r="AB11" s="4"/>
      <c r="AC11" s="4"/>
    </row>
    <row r="12" spans="1:29" s="3" customFormat="1" ht="15" x14ac:dyDescent="0.2">
      <c r="A12" s="56"/>
      <c r="B12" s="36" t="s">
        <v>19</v>
      </c>
      <c r="C12" s="31">
        <v>1</v>
      </c>
      <c r="D12" s="31">
        <f>0.09*0.096*2+0.096*0.002*4</f>
        <v>1.8048000000000002E-2</v>
      </c>
      <c r="E12" s="27">
        <f t="shared" si="0"/>
        <v>1.8048000000000002E-2</v>
      </c>
      <c r="F12" s="29" t="s">
        <v>39</v>
      </c>
      <c r="G12" s="30">
        <f>E12*VLOOKUP(F12,'Environment Options'!$A$2:$B$6,2,FALSE)</f>
        <v>180.48000000000002</v>
      </c>
      <c r="H12" s="31">
        <v>0</v>
      </c>
      <c r="I12" s="31">
        <f>9*9.6*0.2*75</f>
        <v>1295.9999999999998</v>
      </c>
      <c r="J12" s="32">
        <f t="shared" si="3"/>
        <v>1476.4799999999998</v>
      </c>
      <c r="K12" s="31"/>
      <c r="L12" s="29"/>
      <c r="M12" s="29"/>
      <c r="N12" s="61">
        <f t="shared" si="4"/>
        <v>1476.4799999999998</v>
      </c>
      <c r="O12" s="63"/>
      <c r="P12" s="58"/>
      <c r="Q12" s="50"/>
      <c r="R12" s="4"/>
      <c r="S12" s="4"/>
      <c r="T12" s="4"/>
      <c r="U12" s="4"/>
      <c r="V12" s="4"/>
      <c r="W12" s="4"/>
      <c r="X12" s="4"/>
      <c r="Y12" s="4"/>
      <c r="Z12" s="4"/>
      <c r="AA12" s="4"/>
      <c r="AB12" s="4"/>
      <c r="AC12" s="4"/>
    </row>
    <row r="13" spans="1:29" s="6" customFormat="1" ht="15" x14ac:dyDescent="0.2">
      <c r="A13" s="57"/>
      <c r="B13" s="36" t="s">
        <v>61</v>
      </c>
      <c r="C13" s="31">
        <v>1</v>
      </c>
      <c r="D13" s="31">
        <f>0.05*0.1*4 + 0.1*0.1*2</f>
        <v>4.0000000000000008E-2</v>
      </c>
      <c r="E13" s="34">
        <f t="shared" si="0"/>
        <v>4.0000000000000008E-2</v>
      </c>
      <c r="F13" s="29" t="s">
        <v>39</v>
      </c>
      <c r="G13" s="30">
        <f>E13*VLOOKUP(F13,'Environment Options'!$A$2:$B$6,2,FALSE)</f>
        <v>400.00000000000006</v>
      </c>
      <c r="H13" s="31">
        <v>0</v>
      </c>
      <c r="I13" s="31">
        <f>500*C13</f>
        <v>500</v>
      </c>
      <c r="J13" s="32">
        <f t="shared" si="3"/>
        <v>900</v>
      </c>
      <c r="K13" s="31"/>
      <c r="L13" s="29"/>
      <c r="M13" s="29"/>
      <c r="N13" s="61">
        <f t="shared" si="4"/>
        <v>900</v>
      </c>
      <c r="O13" s="63"/>
      <c r="P13" s="59"/>
      <c r="Q13" s="51"/>
      <c r="R13" s="9"/>
      <c r="S13" s="9"/>
      <c r="T13" s="9"/>
      <c r="U13" s="9"/>
      <c r="V13" s="9"/>
      <c r="W13" s="9"/>
      <c r="X13" s="9"/>
      <c r="Y13" s="9"/>
      <c r="Z13" s="9"/>
      <c r="AA13" s="9"/>
      <c r="AB13" s="9"/>
      <c r="AC13" s="9"/>
    </row>
    <row r="14" spans="1:29" s="3" customFormat="1" ht="15" x14ac:dyDescent="0.2">
      <c r="A14" s="56"/>
      <c r="B14" s="36" t="s">
        <v>62</v>
      </c>
      <c r="C14" s="31">
        <v>1</v>
      </c>
      <c r="D14" s="31">
        <f>0.098*0.082*2+0.098*0.0032*2+0.082*0.0032*2</f>
        <v>1.7224000000000003E-2</v>
      </c>
      <c r="E14" s="34">
        <f t="shared" si="0"/>
        <v>1.7224000000000003E-2</v>
      </c>
      <c r="F14" s="29" t="s">
        <v>44</v>
      </c>
      <c r="G14" s="30">
        <f>E14*VLOOKUP(F14,'Environment Options'!$A$2:$B$6,2,FALSE)</f>
        <v>1722.4000000000003</v>
      </c>
      <c r="H14" s="31">
        <v>0</v>
      </c>
      <c r="I14" s="31">
        <v>0</v>
      </c>
      <c r="J14" s="32">
        <f t="shared" si="3"/>
        <v>1722.4000000000003</v>
      </c>
      <c r="K14" s="31"/>
      <c r="L14" s="29"/>
      <c r="M14" s="29"/>
      <c r="N14" s="61">
        <f t="shared" si="4"/>
        <v>1722.4000000000003</v>
      </c>
      <c r="O14" s="63"/>
      <c r="P14" s="58"/>
      <c r="Q14" s="50"/>
      <c r="R14" s="4"/>
      <c r="S14" s="4"/>
      <c r="T14" s="4"/>
      <c r="U14" s="4"/>
      <c r="V14" s="4"/>
      <c r="W14" s="4"/>
      <c r="X14" s="4"/>
      <c r="Y14" s="4"/>
      <c r="Z14" s="4"/>
      <c r="AA14" s="4"/>
      <c r="AB14" s="4"/>
      <c r="AC14" s="4"/>
    </row>
    <row r="15" spans="1:29" s="3" customFormat="1" ht="15" x14ac:dyDescent="0.2">
      <c r="A15" s="56"/>
      <c r="B15" s="36" t="s">
        <v>63</v>
      </c>
      <c r="C15" s="31">
        <v>1</v>
      </c>
      <c r="D15" s="31">
        <f>0.597*0.335*2+0.597*0.000813*2+0.335*0.000813*2</f>
        <v>0.401505432</v>
      </c>
      <c r="E15" s="34">
        <f t="shared" si="0"/>
        <v>0.401505432</v>
      </c>
      <c r="F15" s="29" t="s">
        <v>44</v>
      </c>
      <c r="G15" s="30">
        <f>E15*VLOOKUP(F15,'Environment Options'!$A$2:$B$6,2,FALSE)</f>
        <v>40150.5432</v>
      </c>
      <c r="H15" s="31">
        <v>0</v>
      </c>
      <c r="I15" s="31">
        <v>0</v>
      </c>
      <c r="J15" s="32">
        <f t="shared" si="3"/>
        <v>40150.5432</v>
      </c>
      <c r="K15" s="31"/>
      <c r="L15" s="29"/>
      <c r="M15" s="29"/>
      <c r="N15" s="61">
        <f t="shared" si="4"/>
        <v>40150.5432</v>
      </c>
      <c r="O15" s="63"/>
      <c r="P15" s="58"/>
      <c r="Q15" s="50"/>
      <c r="R15" s="4"/>
      <c r="S15" s="4"/>
      <c r="T15" s="4"/>
      <c r="U15" s="4"/>
      <c r="V15" s="4"/>
      <c r="W15" s="4"/>
      <c r="X15" s="4"/>
      <c r="Y15" s="4"/>
      <c r="Z15" s="4"/>
      <c r="AA15" s="4"/>
      <c r="AB15" s="4"/>
      <c r="AC15" s="4"/>
    </row>
    <row r="16" spans="1:29" s="3" customFormat="1" ht="15" x14ac:dyDescent="0.2">
      <c r="A16" s="56"/>
      <c r="B16" s="36" t="s">
        <v>64</v>
      </c>
      <c r="C16" s="31">
        <v>1</v>
      </c>
      <c r="D16" s="31">
        <f>0.029*0.029*2+0.029*0.0707*4</f>
        <v>9.8832E-3</v>
      </c>
      <c r="E16" s="34">
        <f t="shared" si="0"/>
        <v>9.8832E-3</v>
      </c>
      <c r="F16" s="29" t="s">
        <v>39</v>
      </c>
      <c r="G16" s="30">
        <f>E16*VLOOKUP(F16,'Environment Options'!$A$2:$B$6,2,FALSE)</f>
        <v>98.831999999999994</v>
      </c>
      <c r="H16" s="31">
        <v>0</v>
      </c>
      <c r="I16" s="31">
        <v>0</v>
      </c>
      <c r="J16" s="32">
        <f t="shared" si="3"/>
        <v>98.831999999999994</v>
      </c>
      <c r="K16" s="31"/>
      <c r="L16" s="29"/>
      <c r="M16" s="29"/>
      <c r="N16" s="61">
        <f t="shared" si="4"/>
        <v>98.831999999999994</v>
      </c>
      <c r="O16" s="63"/>
      <c r="P16" s="58"/>
      <c r="Q16" s="50"/>
      <c r="R16" s="4"/>
      <c r="S16" s="4"/>
      <c r="T16" s="4"/>
      <c r="U16" s="4"/>
      <c r="V16" s="4"/>
      <c r="W16" s="4"/>
      <c r="X16" s="4"/>
      <c r="Y16" s="4"/>
      <c r="Z16" s="4"/>
      <c r="AA16" s="4"/>
      <c r="AB16" s="4"/>
      <c r="AC16" s="4"/>
    </row>
    <row r="17" spans="1:29" s="3" customFormat="1" ht="15" x14ac:dyDescent="0.2">
      <c r="A17" s="56"/>
      <c r="B17" s="36" t="s">
        <v>66</v>
      </c>
      <c r="C17" s="31">
        <v>3</v>
      </c>
      <c r="D17" s="31">
        <f>0.05*0.05*2+0.05*0.027*4</f>
        <v>1.0400000000000001E-2</v>
      </c>
      <c r="E17" s="34">
        <f t="shared" si="0"/>
        <v>3.1200000000000006E-2</v>
      </c>
      <c r="F17" s="29" t="s">
        <v>39</v>
      </c>
      <c r="G17" s="30">
        <f>E17*VLOOKUP(F17,'Environment Options'!$A$2:$B$6,2,FALSE)</f>
        <v>312.00000000000006</v>
      </c>
      <c r="H17" s="31">
        <v>0</v>
      </c>
      <c r="I17" s="31">
        <v>0</v>
      </c>
      <c r="J17" s="32">
        <f t="shared" si="3"/>
        <v>312.00000000000006</v>
      </c>
      <c r="K17" s="31"/>
      <c r="L17" s="29"/>
      <c r="M17" s="29"/>
      <c r="N17" s="61">
        <f t="shared" si="4"/>
        <v>312.00000000000006</v>
      </c>
      <c r="O17" s="63"/>
      <c r="P17" s="58"/>
      <c r="Q17" s="50"/>
      <c r="R17" s="4"/>
      <c r="S17" s="4"/>
      <c r="T17" s="4"/>
      <c r="U17" s="4"/>
      <c r="V17" s="4"/>
      <c r="W17" s="4"/>
      <c r="X17" s="4"/>
      <c r="Y17" s="4"/>
      <c r="Z17" s="4"/>
      <c r="AA17" s="4"/>
      <c r="AB17" s="4"/>
      <c r="AC17" s="4"/>
    </row>
    <row r="18" spans="1:29" s="3" customFormat="1" ht="15" x14ac:dyDescent="0.2">
      <c r="A18" s="56"/>
      <c r="B18" s="41" t="s">
        <v>67</v>
      </c>
      <c r="C18" s="61">
        <v>1</v>
      </c>
      <c r="D18" s="62">
        <f>0.0215*0.0448*2+0.0215*0.0386*2+0.0386*0.0448*2</f>
        <v>7.0447599999999997E-3</v>
      </c>
      <c r="E18" s="34">
        <f t="shared" si="0"/>
        <v>7.0447599999999997E-3</v>
      </c>
      <c r="F18" s="29" t="s">
        <v>39</v>
      </c>
      <c r="G18" s="30">
        <f>E18*VLOOKUP(F18,'Environment Options'!$A$2:$B$6,2,FALSE)</f>
        <v>70.447599999999994</v>
      </c>
      <c r="H18" s="61">
        <v>0</v>
      </c>
      <c r="I18" s="62">
        <f>2.15*4.48*3.86*25</f>
        <v>929.48799999999994</v>
      </c>
      <c r="J18" s="32">
        <f t="shared" si="3"/>
        <v>999.93559999999991</v>
      </c>
      <c r="K18" s="62"/>
      <c r="L18" s="62"/>
      <c r="M18" s="62"/>
      <c r="N18" s="61">
        <f t="shared" si="4"/>
        <v>999.93559999999991</v>
      </c>
      <c r="O18" s="62"/>
      <c r="P18" s="60"/>
      <c r="Q18" s="52"/>
      <c r="R18" s="4"/>
      <c r="S18" s="4"/>
      <c r="T18" s="4"/>
      <c r="U18" s="4"/>
      <c r="V18" s="4"/>
      <c r="W18" s="4"/>
      <c r="X18" s="4"/>
      <c r="Y18" s="4"/>
      <c r="Z18" s="4"/>
      <c r="AA18" s="4"/>
      <c r="AB18" s="4"/>
      <c r="AC18" s="4"/>
    </row>
    <row r="19" spans="1:29" s="3" customFormat="1" ht="15" x14ac:dyDescent="0.2">
      <c r="A19" s="56"/>
      <c r="B19" s="41" t="s">
        <v>68</v>
      </c>
      <c r="C19" s="61">
        <v>2</v>
      </c>
      <c r="D19" s="62">
        <f>0.0538*0.0538*2+0.0538*0.0905*4</f>
        <v>2.5264479999999999E-2</v>
      </c>
      <c r="E19" s="34">
        <f t="shared" si="0"/>
        <v>5.0528959999999998E-2</v>
      </c>
      <c r="F19" s="29" t="s">
        <v>44</v>
      </c>
      <c r="G19" s="30">
        <f>E19*VLOOKUP(F19,'Environment Options'!$A$2:$B$6,2,FALSE)</f>
        <v>5052.8959999999997</v>
      </c>
      <c r="H19" s="61">
        <v>0</v>
      </c>
      <c r="I19" s="61">
        <v>0</v>
      </c>
      <c r="J19" s="32">
        <f t="shared" si="3"/>
        <v>5052.8959999999997</v>
      </c>
      <c r="K19" s="62"/>
      <c r="L19" s="62"/>
      <c r="M19" s="62"/>
      <c r="N19" s="61">
        <f t="shared" si="4"/>
        <v>5052.8959999999997</v>
      </c>
      <c r="O19" s="62"/>
      <c r="P19" s="60"/>
      <c r="Q19" s="52"/>
      <c r="R19" s="4"/>
      <c r="S19" s="4"/>
      <c r="T19" s="4"/>
      <c r="U19" s="4"/>
      <c r="V19" s="4"/>
      <c r="W19" s="4"/>
      <c r="X19" s="4"/>
      <c r="Y19" s="4"/>
      <c r="Z19" s="4"/>
      <c r="AA19" s="4"/>
      <c r="AB19" s="4"/>
      <c r="AC19" s="4"/>
    </row>
    <row r="20" spans="1:29" s="3" customFormat="1" ht="15" x14ac:dyDescent="0.2">
      <c r="A20" s="56"/>
      <c r="B20" s="41" t="s">
        <v>69</v>
      </c>
      <c r="C20" s="61">
        <v>2</v>
      </c>
      <c r="D20" s="62">
        <f>0.043*0.014*2+0.043*0.0059*2+0.014*0.0059*2</f>
        <v>1.8766E-3</v>
      </c>
      <c r="E20" s="34">
        <f t="shared" si="0"/>
        <v>3.7531999999999999E-3</v>
      </c>
      <c r="F20" s="29" t="s">
        <v>44</v>
      </c>
      <c r="G20" s="30">
        <f>E20*VLOOKUP(F20,'Environment Options'!$A$2:$B$6,2,FALSE)</f>
        <v>375.32</v>
      </c>
      <c r="H20" s="61">
        <v>0</v>
      </c>
      <c r="I20" s="61">
        <v>0</v>
      </c>
      <c r="J20" s="32">
        <f t="shared" si="3"/>
        <v>375.32</v>
      </c>
      <c r="K20" s="62"/>
      <c r="L20" s="62"/>
      <c r="M20" s="62"/>
      <c r="N20" s="61">
        <f t="shared" si="4"/>
        <v>375.32</v>
      </c>
      <c r="O20" s="62"/>
      <c r="P20" s="60"/>
      <c r="Q20" s="52"/>
      <c r="R20" s="4"/>
      <c r="S20" s="4"/>
      <c r="T20" s="4"/>
      <c r="U20" s="4"/>
      <c r="V20" s="4"/>
      <c r="W20" s="4"/>
      <c r="X20" s="4"/>
      <c r="Y20" s="4"/>
      <c r="Z20" s="4"/>
      <c r="AA20" s="4"/>
      <c r="AB20" s="4"/>
      <c r="AC20" s="4"/>
    </row>
    <row r="21" spans="1:29" s="3" customFormat="1" ht="15" x14ac:dyDescent="0.2">
      <c r="A21" s="56"/>
      <c r="B21" s="41" t="s">
        <v>70</v>
      </c>
      <c r="C21" s="61">
        <v>1</v>
      </c>
      <c r="D21" s="62">
        <f>0.095*0.091*2+0.095*0.011*4</f>
        <v>2.147E-2</v>
      </c>
      <c r="E21" s="34">
        <f t="shared" si="0"/>
        <v>2.147E-2</v>
      </c>
      <c r="F21" s="29" t="s">
        <v>39</v>
      </c>
      <c r="G21" s="30">
        <f>E21*VLOOKUP(F21,'Environment Options'!$A$2:$B$6,2,FALSE)</f>
        <v>214.7</v>
      </c>
      <c r="H21" s="61">
        <v>0</v>
      </c>
      <c r="I21" s="62">
        <f>9.5*9.1*1.1*10</f>
        <v>950.95000000000016</v>
      </c>
      <c r="J21" s="32">
        <f t="shared" si="3"/>
        <v>1165.6500000000001</v>
      </c>
      <c r="K21" s="62"/>
      <c r="L21" s="62"/>
      <c r="M21" s="62"/>
      <c r="N21" s="61">
        <f t="shared" si="4"/>
        <v>1165.6500000000001</v>
      </c>
      <c r="O21" s="62"/>
      <c r="P21" s="60"/>
      <c r="Q21" s="52"/>
      <c r="R21" s="4"/>
      <c r="S21" s="4"/>
      <c r="T21" s="4"/>
      <c r="U21" s="4"/>
      <c r="V21" s="4"/>
      <c r="W21" s="4"/>
      <c r="X21" s="4"/>
      <c r="Y21" s="4"/>
      <c r="Z21" s="4"/>
      <c r="AA21" s="4"/>
      <c r="AB21" s="4"/>
      <c r="AC21" s="4"/>
    </row>
    <row r="22" spans="1:29" s="3" customFormat="1" ht="15" x14ac:dyDescent="0.2">
      <c r="A22" s="56"/>
      <c r="B22" s="41" t="s">
        <v>71</v>
      </c>
      <c r="C22" s="61">
        <v>1</v>
      </c>
      <c r="D22" s="62">
        <f>0.1*0.1*8 + 0.05*0.1*7</f>
        <v>0.11500000000000002</v>
      </c>
      <c r="E22" s="34">
        <f t="shared" si="0"/>
        <v>0.11500000000000002</v>
      </c>
      <c r="F22" s="29" t="s">
        <v>39</v>
      </c>
      <c r="G22" s="30">
        <f>E22*VLOOKUP(F22,'Environment Options'!$A$2:$B$6,2,FALSE)</f>
        <v>1150.0000000000002</v>
      </c>
      <c r="H22" s="61">
        <v>0</v>
      </c>
      <c r="I22" s="62">
        <f>1*150</f>
        <v>150</v>
      </c>
      <c r="J22" s="32">
        <f t="shared" si="3"/>
        <v>1300.0000000000002</v>
      </c>
      <c r="K22" s="62"/>
      <c r="L22" s="62"/>
      <c r="M22" s="62"/>
      <c r="N22" s="61">
        <f t="shared" si="4"/>
        <v>1300.0000000000002</v>
      </c>
      <c r="O22" s="62"/>
      <c r="P22" s="60"/>
      <c r="Q22" s="52"/>
      <c r="R22" s="4"/>
      <c r="S22" s="4"/>
      <c r="T22" s="4"/>
      <c r="U22" s="4"/>
      <c r="V22" s="4"/>
      <c r="W22" s="4"/>
      <c r="X22" s="4"/>
      <c r="Y22" s="4"/>
      <c r="Z22" s="4"/>
      <c r="AA22" s="4"/>
      <c r="AB22" s="4"/>
      <c r="AC22" s="4"/>
    </row>
    <row r="23" spans="1:29" s="3" customFormat="1" ht="15" x14ac:dyDescent="0.2">
      <c r="A23" s="56"/>
      <c r="B23" s="41" t="s">
        <v>72</v>
      </c>
      <c r="C23" s="61">
        <v>1</v>
      </c>
      <c r="D23" s="62">
        <f>0.065*0.09*2+0.065*0.107*2+0.09*0.107*2</f>
        <v>4.487E-2</v>
      </c>
      <c r="E23" s="34">
        <f t="shared" si="0"/>
        <v>4.487E-2</v>
      </c>
      <c r="F23" s="29" t="s">
        <v>39</v>
      </c>
      <c r="G23" s="30">
        <f>E23*VLOOKUP(F23,'Environment Options'!$A$2:$B$6,2,FALSE)</f>
        <v>448.7</v>
      </c>
      <c r="H23" s="61">
        <v>0</v>
      </c>
      <c r="I23" s="61">
        <v>0</v>
      </c>
      <c r="J23" s="32">
        <f t="shared" si="3"/>
        <v>448.7</v>
      </c>
      <c r="K23" s="62"/>
      <c r="L23" s="62"/>
      <c r="M23" s="62"/>
      <c r="N23" s="61">
        <f t="shared" si="4"/>
        <v>448.7</v>
      </c>
      <c r="O23" s="62"/>
      <c r="P23" s="60"/>
      <c r="Q23" s="52"/>
      <c r="R23" s="4"/>
      <c r="S23" s="4"/>
      <c r="T23" s="4"/>
      <c r="U23" s="4"/>
      <c r="V23" s="4"/>
      <c r="W23" s="4"/>
      <c r="X23" s="4"/>
      <c r="Y23" s="4"/>
      <c r="Z23" s="4"/>
      <c r="AA23" s="4"/>
      <c r="AB23" s="4"/>
      <c r="AC23" s="4"/>
    </row>
    <row r="24" spans="1:29" s="3" customFormat="1" ht="15" x14ac:dyDescent="0.2">
      <c r="A24" s="56"/>
      <c r="B24" s="41" t="s">
        <v>65</v>
      </c>
      <c r="C24" s="61">
        <v>1</v>
      </c>
      <c r="D24" s="62"/>
      <c r="E24" s="34">
        <f t="shared" si="0"/>
        <v>0</v>
      </c>
      <c r="F24" s="29" t="s">
        <v>44</v>
      </c>
      <c r="G24" s="30">
        <f>E24*VLOOKUP(F24,'Environment Options'!$A$2:$B$6,2,FALSE)</f>
        <v>0</v>
      </c>
      <c r="H24" s="62">
        <v>300</v>
      </c>
      <c r="I24" s="61">
        <v>0</v>
      </c>
      <c r="J24" s="32">
        <f t="shared" si="3"/>
        <v>300</v>
      </c>
      <c r="K24" s="62"/>
      <c r="L24" s="62"/>
      <c r="M24" s="62"/>
      <c r="N24" s="61">
        <f t="shared" si="4"/>
        <v>300</v>
      </c>
      <c r="O24" s="62"/>
      <c r="P24" s="60"/>
      <c r="Q24" s="52"/>
      <c r="R24" s="4"/>
      <c r="S24" s="4"/>
      <c r="T24" s="4"/>
      <c r="U24" s="4"/>
      <c r="V24" s="4"/>
      <c r="W24" s="4"/>
      <c r="X24" s="4"/>
      <c r="Y24" s="4"/>
      <c r="Z24" s="4"/>
      <c r="AA24" s="4"/>
      <c r="AB24" s="4"/>
      <c r="AC24" s="4"/>
    </row>
    <row r="25" spans="1:29" s="3" customFormat="1" ht="30" x14ac:dyDescent="0.2">
      <c r="A25" s="56"/>
      <c r="B25" s="40" t="s">
        <v>75</v>
      </c>
      <c r="C25" s="61">
        <v>2</v>
      </c>
      <c r="D25" s="27">
        <f>2*(0.2*0.4*4 + 0.2*0.1*4 + 0.4*0.1*4)</f>
        <v>1.1200000000000001</v>
      </c>
      <c r="E25" s="34">
        <f t="shared" si="0"/>
        <v>2.2400000000000002</v>
      </c>
      <c r="F25" s="29" t="s">
        <v>44</v>
      </c>
      <c r="G25" s="30">
        <f>E25*VLOOKUP(F25,'Environment Options'!$A$2:$B$6,2,FALSE)</f>
        <v>224000.00000000003</v>
      </c>
      <c r="H25" s="61">
        <v>0</v>
      </c>
      <c r="I25" s="61">
        <v>0</v>
      </c>
      <c r="J25" s="32">
        <f t="shared" si="3"/>
        <v>224000.00000000003</v>
      </c>
      <c r="K25" s="62"/>
      <c r="L25" s="62"/>
      <c r="M25" s="62"/>
      <c r="N25" s="61">
        <f t="shared" si="4"/>
        <v>224000.00000000003</v>
      </c>
      <c r="O25" s="62"/>
      <c r="P25" s="60"/>
      <c r="Q25" s="52"/>
      <c r="R25" s="4"/>
      <c r="S25" s="4"/>
      <c r="T25" s="4"/>
      <c r="U25" s="4"/>
      <c r="V25" s="4"/>
      <c r="W25" s="4"/>
      <c r="X25" s="4"/>
      <c r="Y25" s="4"/>
      <c r="Z25" s="4"/>
      <c r="AA25" s="4"/>
      <c r="AB25" s="4"/>
      <c r="AC25" s="4"/>
    </row>
    <row r="26" spans="1:29" ht="14" x14ac:dyDescent="0.2">
      <c r="A26" s="18"/>
      <c r="B26" s="41"/>
      <c r="C26" s="41"/>
      <c r="D26" s="41"/>
      <c r="E26" s="41"/>
      <c r="F26" s="41"/>
      <c r="G26" s="41"/>
      <c r="H26" s="41"/>
      <c r="I26" s="41"/>
      <c r="J26" s="41"/>
      <c r="K26" s="41"/>
      <c r="L26" s="41"/>
      <c r="M26" s="41"/>
      <c r="N26" s="11"/>
      <c r="O26" s="11"/>
      <c r="P26" s="20"/>
      <c r="Q26" s="48"/>
      <c r="R26" s="5"/>
      <c r="S26" s="5"/>
      <c r="T26" s="5"/>
      <c r="U26" s="5"/>
      <c r="V26" s="5"/>
      <c r="W26" s="5"/>
      <c r="X26" s="5"/>
      <c r="Y26" s="5"/>
      <c r="Z26" s="5"/>
      <c r="AA26" s="5"/>
      <c r="AB26" s="5"/>
      <c r="AC26" s="5"/>
    </row>
    <row r="27" spans="1:29" ht="14" x14ac:dyDescent="0.2">
      <c r="A27" s="18"/>
      <c r="B27" s="42" t="s">
        <v>30</v>
      </c>
      <c r="C27" s="43"/>
      <c r="D27" s="44"/>
      <c r="E27" s="45">
        <f>SUM(E5:E10)</f>
        <v>2.7316818922400001</v>
      </c>
      <c r="F27" s="43"/>
      <c r="G27" s="44">
        <f>SUM(G5:G25)</f>
        <v>541717.09362400009</v>
      </c>
      <c r="H27" s="44">
        <f>SUM(H5:H25)</f>
        <v>42945.033600000002</v>
      </c>
      <c r="I27" s="44">
        <f>SUM(I5:I24)</f>
        <v>10500.122799999999</v>
      </c>
      <c r="J27" s="44">
        <f>SUM(G27:I27)</f>
        <v>595162.25002400007</v>
      </c>
      <c r="K27" s="43"/>
      <c r="L27" s="43"/>
      <c r="M27" s="43"/>
      <c r="N27" s="35">
        <f>SUM(N5:N25)</f>
        <v>595162.25002400018</v>
      </c>
      <c r="O27" s="43"/>
      <c r="P27" s="20"/>
      <c r="Q27" s="48"/>
      <c r="R27" s="5"/>
      <c r="S27" s="5"/>
      <c r="T27" s="5"/>
      <c r="U27" s="5"/>
      <c r="V27" s="5"/>
      <c r="W27" s="5"/>
      <c r="X27" s="5"/>
      <c r="Y27" s="5"/>
      <c r="Z27" s="5"/>
      <c r="AA27" s="5"/>
      <c r="AB27" s="5"/>
      <c r="AC27" s="5"/>
    </row>
    <row r="28" spans="1:29" x14ac:dyDescent="0.15">
      <c r="A28" s="17"/>
      <c r="B28" s="47"/>
      <c r="C28" s="47"/>
      <c r="D28" s="47"/>
      <c r="E28" s="47"/>
      <c r="F28" s="47"/>
      <c r="G28" s="47"/>
      <c r="H28" s="47"/>
      <c r="I28" s="47"/>
      <c r="J28" s="47"/>
      <c r="K28" s="47"/>
      <c r="L28" s="47"/>
      <c r="M28" s="47"/>
      <c r="N28" s="47"/>
      <c r="O28" s="47"/>
      <c r="P28" s="17"/>
      <c r="Q28" s="48"/>
      <c r="R28" s="5"/>
      <c r="S28" s="5"/>
      <c r="T28" s="5"/>
      <c r="U28" s="5"/>
      <c r="V28" s="5"/>
      <c r="W28" s="5"/>
      <c r="X28" s="5"/>
      <c r="Y28" s="5"/>
      <c r="Z28" s="5"/>
      <c r="AA28" s="5"/>
      <c r="AB28" s="5"/>
      <c r="AC28" s="5"/>
    </row>
    <row r="29" spans="1:29" ht="14.5" customHeight="1" x14ac:dyDescent="0.15">
      <c r="G29" s="53"/>
      <c r="H29" s="53"/>
      <c r="I29" s="53"/>
      <c r="J29" s="53"/>
      <c r="K29" s="53"/>
      <c r="L29" s="53"/>
      <c r="M29" s="53"/>
      <c r="N29" s="53"/>
      <c r="O29" s="54"/>
      <c r="P29" s="55"/>
      <c r="Q29" s="5"/>
      <c r="R29" s="5"/>
      <c r="S29" s="5"/>
      <c r="T29" s="5"/>
      <c r="U29" s="5"/>
      <c r="V29" s="5"/>
      <c r="W29" s="5"/>
      <c r="X29" s="5"/>
      <c r="Y29" s="5"/>
      <c r="Z29" s="5"/>
      <c r="AA29" s="5"/>
      <c r="AB29" s="5"/>
      <c r="AC29" s="5"/>
    </row>
    <row r="30" spans="1:29" ht="15" x14ac:dyDescent="0.2">
      <c r="B30" s="64" t="s">
        <v>57</v>
      </c>
      <c r="G30" s="4"/>
      <c r="H30" s="4"/>
      <c r="I30" s="4"/>
      <c r="J30" s="4"/>
      <c r="K30" s="4"/>
      <c r="L30" s="4"/>
      <c r="M30" s="4"/>
      <c r="N30" s="4"/>
      <c r="O30" s="8"/>
      <c r="P30" s="5"/>
      <c r="Q30" s="5"/>
      <c r="R30" s="5"/>
      <c r="S30" s="5"/>
      <c r="T30" s="5"/>
      <c r="U30" s="5"/>
      <c r="V30" s="5"/>
      <c r="W30" s="5"/>
      <c r="X30" s="5"/>
      <c r="Y30" s="5"/>
      <c r="Z30" s="5"/>
      <c r="AA30" s="5"/>
      <c r="AB30" s="5"/>
      <c r="AC30" s="5"/>
    </row>
    <row r="31" spans="1:29" x14ac:dyDescent="0.15">
      <c r="G31" s="4"/>
      <c r="I31" s="4"/>
      <c r="J31" s="4"/>
      <c r="K31" s="4"/>
      <c r="L31" s="4"/>
      <c r="M31" s="4"/>
      <c r="N31" s="4"/>
      <c r="O31" s="8"/>
      <c r="P31" s="5"/>
      <c r="Q31" s="5"/>
      <c r="R31" s="5"/>
      <c r="S31" s="5"/>
      <c r="T31" s="5"/>
      <c r="U31" s="5"/>
      <c r="V31" s="5"/>
      <c r="W31" s="5"/>
      <c r="X31" s="5"/>
      <c r="Y31" s="5"/>
      <c r="Z31" s="5"/>
      <c r="AA31" s="5"/>
      <c r="AB31" s="5"/>
      <c r="AC31" s="5"/>
    </row>
    <row r="32" spans="1:29" ht="12" customHeight="1" x14ac:dyDescent="0.15">
      <c r="B32" s="7"/>
      <c r="C32" s="7"/>
      <c r="D32" s="7"/>
      <c r="E32" s="7"/>
      <c r="F32" s="7"/>
      <c r="G32" s="4"/>
      <c r="H32" s="4"/>
      <c r="I32" s="4"/>
      <c r="J32" s="4"/>
      <c r="K32" s="4"/>
      <c r="L32" s="4"/>
      <c r="M32" s="4"/>
      <c r="N32" s="4"/>
      <c r="O32" s="8"/>
      <c r="P32" s="5"/>
      <c r="Q32" s="5"/>
      <c r="R32" s="5"/>
      <c r="S32" s="5"/>
      <c r="T32" s="5"/>
      <c r="U32" s="5"/>
      <c r="V32" s="5"/>
      <c r="W32" s="5"/>
      <c r="X32" s="5"/>
      <c r="Y32" s="5"/>
      <c r="Z32" s="5"/>
      <c r="AA32" s="5"/>
      <c r="AB32" s="5"/>
      <c r="AC32" s="5"/>
    </row>
    <row r="33" spans="2:29" ht="12" customHeight="1" x14ac:dyDescent="0.15">
      <c r="B33" s="7"/>
      <c r="C33" s="7"/>
      <c r="D33" s="7"/>
      <c r="E33" s="7"/>
      <c r="F33" s="7"/>
      <c r="G33" s="4"/>
      <c r="H33" s="4"/>
      <c r="I33" s="4"/>
      <c r="J33" s="4"/>
      <c r="K33" s="4"/>
      <c r="L33" s="4"/>
      <c r="M33" s="4"/>
      <c r="N33" s="4"/>
      <c r="O33" s="8"/>
      <c r="P33" s="5"/>
      <c r="Q33" s="5"/>
      <c r="R33" s="5"/>
      <c r="S33" s="5"/>
      <c r="T33" s="5"/>
      <c r="U33" s="5"/>
      <c r="V33" s="5"/>
      <c r="W33" s="5"/>
      <c r="X33" s="5"/>
      <c r="Y33" s="5"/>
      <c r="Z33" s="5"/>
      <c r="AA33" s="5"/>
      <c r="AB33" s="5"/>
      <c r="AC33" s="5"/>
    </row>
    <row r="34" spans="2:29" ht="12" customHeight="1" x14ac:dyDescent="0.15">
      <c r="B34" s="7"/>
      <c r="C34" s="7"/>
      <c r="D34" s="7"/>
      <c r="E34" s="7"/>
      <c r="F34" s="7"/>
      <c r="G34" s="4"/>
      <c r="H34" s="4"/>
      <c r="I34" s="4"/>
      <c r="J34" s="4"/>
      <c r="K34" s="4"/>
      <c r="L34" s="4"/>
      <c r="M34" s="4"/>
      <c r="N34" s="4"/>
      <c r="O34" s="8"/>
      <c r="P34" s="5"/>
      <c r="Q34" s="5"/>
      <c r="R34" s="5"/>
      <c r="S34" s="5"/>
      <c r="T34" s="5"/>
      <c r="U34" s="5"/>
      <c r="V34" s="5"/>
      <c r="W34" s="5"/>
      <c r="X34" s="5"/>
      <c r="Y34" s="5"/>
      <c r="Z34" s="5"/>
      <c r="AA34" s="5"/>
      <c r="AB34" s="5"/>
      <c r="AC34" s="5"/>
    </row>
    <row r="35" spans="2:29" ht="12" customHeight="1" x14ac:dyDescent="0.15">
      <c r="B35" s="7"/>
      <c r="C35" s="7"/>
      <c r="D35" s="7"/>
      <c r="E35" s="7"/>
      <c r="F35" s="7"/>
      <c r="G35" s="4"/>
      <c r="H35" s="4"/>
      <c r="I35" s="4"/>
      <c r="J35" s="4"/>
      <c r="K35" s="4"/>
      <c r="L35" s="4"/>
      <c r="M35" s="4"/>
      <c r="N35" s="4"/>
      <c r="O35" s="8"/>
      <c r="P35" s="5"/>
      <c r="Q35" s="5"/>
      <c r="R35" s="5"/>
      <c r="S35" s="5"/>
      <c r="T35" s="5"/>
      <c r="U35" s="5"/>
      <c r="V35" s="5"/>
      <c r="W35" s="5"/>
      <c r="X35" s="5"/>
      <c r="Y35" s="5"/>
      <c r="Z35" s="5"/>
      <c r="AA35" s="5"/>
      <c r="AB35" s="5"/>
      <c r="AC35" s="5"/>
    </row>
    <row r="36" spans="2:29" ht="12" customHeight="1" x14ac:dyDescent="0.15">
      <c r="B36" s="7"/>
      <c r="C36" s="7"/>
      <c r="D36" s="7"/>
      <c r="E36" s="7"/>
      <c r="F36" s="7"/>
      <c r="G36" s="4"/>
      <c r="H36" s="4"/>
      <c r="I36" s="4"/>
      <c r="J36" s="4"/>
      <c r="K36" s="4"/>
      <c r="L36" s="4"/>
      <c r="M36" s="4"/>
      <c r="N36" s="4"/>
      <c r="O36" s="8"/>
      <c r="P36" s="5"/>
      <c r="Q36" s="5"/>
      <c r="R36" s="5"/>
      <c r="S36" s="5"/>
      <c r="T36" s="5"/>
      <c r="U36" s="5"/>
      <c r="V36" s="5"/>
      <c r="W36" s="5"/>
      <c r="X36" s="5"/>
      <c r="Y36" s="5"/>
      <c r="Z36" s="5"/>
      <c r="AA36" s="5"/>
      <c r="AB36" s="5"/>
      <c r="AC36" s="5"/>
    </row>
    <row r="37" spans="2:29" ht="12" customHeight="1" x14ac:dyDescent="0.15">
      <c r="B37" s="7"/>
      <c r="C37" s="7"/>
      <c r="D37" s="7"/>
      <c r="E37" s="7"/>
      <c r="F37" s="7"/>
      <c r="G37" s="4"/>
      <c r="H37" s="4"/>
      <c r="I37" s="4"/>
      <c r="J37" s="4"/>
      <c r="K37" s="4"/>
      <c r="L37" s="4"/>
      <c r="M37" s="4"/>
      <c r="N37" s="4"/>
      <c r="O37" s="8"/>
      <c r="P37" s="5"/>
      <c r="Q37" s="5"/>
      <c r="R37" s="5"/>
      <c r="S37" s="5"/>
      <c r="T37" s="5"/>
      <c r="U37" s="5"/>
      <c r="V37" s="5"/>
      <c r="W37" s="5"/>
      <c r="X37" s="5"/>
      <c r="Y37" s="5"/>
      <c r="Z37" s="5"/>
      <c r="AA37" s="5"/>
      <c r="AB37" s="5"/>
      <c r="AC37" s="5"/>
    </row>
    <row r="38" spans="2:29" ht="12" customHeight="1" x14ac:dyDescent="0.15">
      <c r="B38" s="7"/>
      <c r="C38" s="7"/>
      <c r="D38" s="7"/>
      <c r="E38" s="7"/>
      <c r="F38" s="7"/>
      <c r="G38" s="4"/>
      <c r="H38" s="4"/>
      <c r="I38" s="4"/>
      <c r="J38" s="4"/>
      <c r="K38" s="4"/>
      <c r="L38" s="4"/>
      <c r="M38" s="4"/>
      <c r="N38" s="4"/>
      <c r="O38" s="5"/>
    </row>
    <row r="39" spans="2:29" ht="12" customHeight="1" x14ac:dyDescent="0.15">
      <c r="B39" s="7"/>
      <c r="C39" s="7"/>
      <c r="D39" s="7"/>
      <c r="E39" s="7"/>
      <c r="F39" s="7"/>
      <c r="G39" s="4"/>
      <c r="H39" s="4"/>
      <c r="I39" s="4"/>
      <c r="J39" s="4"/>
      <c r="K39" s="4"/>
      <c r="L39" s="4"/>
      <c r="M39" s="4"/>
      <c r="N39" s="4"/>
      <c r="O39" s="5"/>
    </row>
    <row r="40" spans="2:29" ht="12" customHeight="1" x14ac:dyDescent="0.15">
      <c r="B40" s="7"/>
      <c r="C40" s="7"/>
      <c r="D40" s="7"/>
      <c r="E40" s="7"/>
      <c r="F40" s="7"/>
      <c r="G40" s="4"/>
      <c r="H40" s="4"/>
      <c r="I40" s="4"/>
      <c r="J40" s="4"/>
      <c r="K40" s="4"/>
      <c r="L40" s="4"/>
      <c r="M40" s="4"/>
      <c r="N40" s="4"/>
      <c r="O40" s="5"/>
    </row>
    <row r="41" spans="2:29" x14ac:dyDescent="0.15">
      <c r="G41" s="4"/>
      <c r="H41" s="4"/>
      <c r="I41" s="4"/>
      <c r="J41" s="4"/>
      <c r="K41" s="4"/>
      <c r="L41" s="4"/>
      <c r="M41" s="4"/>
      <c r="N41" s="4"/>
      <c r="O41" s="5"/>
    </row>
    <row r="42" spans="2:29" x14ac:dyDescent="0.15">
      <c r="G42" s="4"/>
      <c r="H42" s="4"/>
      <c r="I42" s="4"/>
      <c r="J42" s="4"/>
      <c r="K42" s="4"/>
      <c r="L42" s="4"/>
      <c r="M42" s="4"/>
      <c r="N42" s="4"/>
      <c r="O42" s="5"/>
    </row>
    <row r="43" spans="2:29" x14ac:dyDescent="0.15">
      <c r="G43" s="4"/>
      <c r="H43" s="4"/>
      <c r="I43" s="4"/>
      <c r="J43" s="4"/>
      <c r="K43" s="4"/>
      <c r="L43" s="4"/>
      <c r="M43" s="4"/>
      <c r="N43" s="4"/>
      <c r="O43" s="5"/>
    </row>
    <row r="44" spans="2:29" x14ac:dyDescent="0.15">
      <c r="G44" s="4"/>
      <c r="H44" s="4"/>
      <c r="I44" s="4"/>
      <c r="J44" s="4"/>
      <c r="K44" s="4"/>
      <c r="L44" s="4"/>
      <c r="M44" s="4"/>
      <c r="N44" s="4"/>
      <c r="O44" s="5"/>
    </row>
    <row r="45" spans="2:29" x14ac:dyDescent="0.15">
      <c r="G45" s="5"/>
      <c r="H45" s="5"/>
      <c r="I45" s="5"/>
      <c r="J45" s="5"/>
      <c r="K45" s="5"/>
      <c r="L45" s="5"/>
      <c r="M45" s="5"/>
      <c r="N45" s="5"/>
      <c r="O45" s="5"/>
    </row>
    <row r="46" spans="2:29" x14ac:dyDescent="0.15">
      <c r="G46" s="5"/>
      <c r="H46" s="5"/>
      <c r="I46" s="5"/>
      <c r="J46" s="5"/>
      <c r="K46" s="5"/>
      <c r="L46" s="5"/>
      <c r="M46" s="5"/>
      <c r="N46" s="5"/>
      <c r="O46" s="5"/>
    </row>
    <row r="47" spans="2:29" x14ac:dyDescent="0.15">
      <c r="G47" s="5"/>
      <c r="H47" s="5"/>
      <c r="I47" s="5"/>
      <c r="J47" s="5"/>
      <c r="K47" s="5"/>
      <c r="L47" s="5"/>
      <c r="M47" s="5"/>
      <c r="N47" s="5"/>
      <c r="O47" s="5"/>
    </row>
    <row r="48" spans="2:29" x14ac:dyDescent="0.15">
      <c r="G48" s="5"/>
      <c r="H48" s="5"/>
      <c r="I48" s="5"/>
      <c r="J48" s="5"/>
      <c r="K48" s="5"/>
      <c r="L48" s="5"/>
      <c r="M48" s="5"/>
      <c r="N48" s="5"/>
      <c r="O48" s="5"/>
    </row>
    <row r="49" spans="7:15" x14ac:dyDescent="0.15">
      <c r="G49" s="5"/>
      <c r="H49" s="5"/>
      <c r="I49" s="5"/>
      <c r="J49" s="5"/>
      <c r="K49" s="5"/>
      <c r="L49" s="5"/>
      <c r="M49" s="5"/>
      <c r="N49" s="5"/>
      <c r="O49" s="5"/>
    </row>
    <row r="50" spans="7:15" x14ac:dyDescent="0.15">
      <c r="G50" s="5"/>
      <c r="H50" s="5"/>
      <c r="I50" s="5"/>
      <c r="J50" s="5"/>
      <c r="K50" s="5"/>
      <c r="L50" s="5"/>
      <c r="M50" s="5"/>
      <c r="N50" s="5"/>
      <c r="O50" s="5"/>
    </row>
    <row r="51" spans="7:15" x14ac:dyDescent="0.15">
      <c r="G51" s="5"/>
      <c r="H51" s="5"/>
      <c r="I51" s="5"/>
      <c r="J51" s="5"/>
      <c r="K51" s="5"/>
      <c r="L51" s="5"/>
      <c r="M51" s="5"/>
      <c r="N51" s="5"/>
      <c r="O51" s="5"/>
    </row>
    <row r="52" spans="7:15" x14ac:dyDescent="0.15">
      <c r="G52" s="5"/>
      <c r="H52" s="5"/>
      <c r="I52" s="5"/>
      <c r="J52" s="5"/>
      <c r="K52" s="5"/>
      <c r="L52" s="5"/>
      <c r="M52" s="5"/>
      <c r="N52" s="5"/>
      <c r="O52" s="5"/>
    </row>
    <row r="53" spans="7:15" x14ac:dyDescent="0.15">
      <c r="G53" s="5"/>
      <c r="H53" s="5"/>
      <c r="I53" s="5"/>
      <c r="J53" s="5"/>
      <c r="K53" s="5"/>
      <c r="L53" s="5"/>
      <c r="M53" s="5"/>
      <c r="N53" s="5"/>
      <c r="O53" s="5"/>
    </row>
    <row r="54" spans="7:15" x14ac:dyDescent="0.15">
      <c r="G54" s="5"/>
      <c r="H54" s="5"/>
      <c r="I54" s="5"/>
      <c r="J54" s="5"/>
      <c r="K54" s="5"/>
      <c r="L54" s="5"/>
      <c r="M54" s="5"/>
      <c r="N54" s="5"/>
      <c r="O54" s="5"/>
    </row>
    <row r="55" spans="7:15" x14ac:dyDescent="0.15">
      <c r="G55" s="5"/>
      <c r="H55" s="5"/>
      <c r="I55" s="5"/>
      <c r="J55" s="5"/>
      <c r="K55" s="5"/>
      <c r="L55" s="5"/>
      <c r="M55" s="5"/>
      <c r="N55" s="5"/>
      <c r="O55" s="5"/>
    </row>
    <row r="56" spans="7:15" x14ac:dyDescent="0.15">
      <c r="G56" s="5"/>
      <c r="H56" s="5"/>
      <c r="I56" s="5"/>
      <c r="J56" s="5"/>
      <c r="K56" s="5"/>
      <c r="L56" s="5"/>
      <c r="M56" s="5"/>
      <c r="N56" s="5"/>
      <c r="O56" s="5"/>
    </row>
  </sheetData>
  <mergeCells count="4">
    <mergeCell ref="D3:E3"/>
    <mergeCell ref="G3:J3"/>
    <mergeCell ref="K3:M3"/>
    <mergeCell ref="B2:O2"/>
  </mergeCells>
  <conditionalFormatting sqref="N4">
    <cfRule type="expression" dxfId="11" priority="9">
      <formula>IF(N27&gt;500000, 0, 0)</formula>
    </cfRule>
  </conditionalFormatting>
  <conditionalFormatting sqref="N5:N9">
    <cfRule type="expression" dxfId="10" priority="10">
      <formula>IF(#REF!&gt;500000, 0, 0)</formula>
    </cfRule>
  </conditionalFormatting>
  <conditionalFormatting sqref="N10">
    <cfRule type="expression" dxfId="9" priority="16">
      <formula>IF(N18&gt;500000, 0, 0)</formula>
    </cfRule>
  </conditionalFormatting>
  <conditionalFormatting sqref="N11:N12">
    <cfRule type="expression" dxfId="8" priority="13">
      <formula>IF(N27&gt;500000, 0, 0)</formula>
    </cfRule>
  </conditionalFormatting>
  <conditionalFormatting sqref="N13:N25">
    <cfRule type="expression" dxfId="7" priority="1">
      <formula>IF(N48&gt;500000, 0, 0)</formula>
    </cfRule>
  </conditionalFormatting>
  <conditionalFormatting sqref="N27">
    <cfRule type="cellIs" dxfId="6" priority="6" operator="greaterThan">
      <formula>500000</formula>
    </cfRule>
    <cfRule type="cellIs" dxfId="5" priority="7" operator="lessThan">
      <formula>500000</formula>
    </cfRule>
    <cfRule type="cellIs" dxfId="4" priority="8" operator="greaterThan">
      <formula>500000</formula>
    </cfRule>
  </conditionalFormatting>
  <hyperlinks>
    <hyperlink ref="B30" r:id="rId1" xr:uid="{A4C3CE25-9622-42BD-BC28-34A6EE640B7A}"/>
  </hyperlinks>
  <pageMargins left="1" right="1" top="1" bottom="1" header="0.3" footer="0.3"/>
  <pageSetup orientation="landscape" r:id="rId2"/>
  <headerFooter>
    <oddHeader>&amp;L&amp;10EVM-3 2019 &amp;KFF0000TEMPLATE
&amp;K000000AO &amp;KFF0000TBD&amp;R&amp;10&lt;Proposal Name&gt; &amp;KFF0000PROPOSAL&amp;11 &amp;10SENSITIVE
&amp;K000000Appendix J.9—MEL</oddHeader>
    <oddFooter>&amp;C&amp;8J.9-&amp;P
Use or disclosure of information contained on this sheet is subject to the restriction on the Restrictive Notice page of this proposal.</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57792CE-52B5-472B-B132-FC2E6E609484}">
          <x14:formula1>
            <xm:f>'Environment Options'!$A$2:$A$6</xm:f>
          </x14:formula1>
          <xm:sqref>F5:F25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6EF2E-7578-48E7-AA49-40F5B85746D1}">
  <dimension ref="A1:P47"/>
  <sheetViews>
    <sheetView tabSelected="1" zoomScaleNormal="100" workbookViewId="0">
      <selection activeCell="F33" sqref="F33"/>
    </sheetView>
  </sheetViews>
  <sheetFormatPr baseColWidth="10" defaultColWidth="8.83203125" defaultRowHeight="12" x14ac:dyDescent="0.15"/>
  <cols>
    <col min="1" max="1" width="2.5" style="1" customWidth="1"/>
    <col min="2" max="2" width="22.33203125" style="1" customWidth="1"/>
    <col min="3" max="3" width="13.1640625" style="1" customWidth="1"/>
    <col min="4" max="4" width="18.5" style="1" customWidth="1"/>
    <col min="5" max="5" width="14.5" style="1" customWidth="1"/>
    <col min="6" max="6" width="21.33203125" style="1" customWidth="1"/>
    <col min="7" max="7" width="14.83203125" style="1" customWidth="1"/>
    <col min="8" max="8" width="16.5" style="1" customWidth="1"/>
    <col min="9" max="9" width="20.83203125" style="1" customWidth="1"/>
    <col min="10" max="10" width="17.83203125" style="1" customWidth="1"/>
    <col min="11" max="11" width="18.33203125" style="1" customWidth="1"/>
    <col min="12" max="12" width="17.1640625" style="1" customWidth="1"/>
    <col min="13" max="13" width="18.6640625" style="1" customWidth="1"/>
    <col min="14" max="14" width="12.5" style="1" customWidth="1"/>
    <col min="15" max="15" width="17.5" style="1" customWidth="1"/>
    <col min="16" max="16" width="6.5" style="1" customWidth="1"/>
    <col min="17" max="16384" width="8.83203125" style="1"/>
  </cols>
  <sheetData>
    <row r="1" spans="1:16" ht="10.5" customHeight="1" x14ac:dyDescent="0.15">
      <c r="A1" s="17"/>
      <c r="B1" s="16"/>
      <c r="C1" s="16"/>
      <c r="D1" s="16"/>
      <c r="E1" s="16"/>
      <c r="F1" s="16"/>
      <c r="G1" s="16"/>
      <c r="H1" s="16"/>
      <c r="I1" s="16"/>
      <c r="J1" s="16"/>
      <c r="K1" s="16"/>
      <c r="L1" s="16"/>
      <c r="M1" s="16"/>
      <c r="N1" s="16"/>
      <c r="O1" s="16"/>
      <c r="P1" s="17"/>
    </row>
    <row r="2" spans="1:16" ht="30.5" customHeight="1" x14ac:dyDescent="0.15">
      <c r="A2" s="18"/>
      <c r="B2" s="68" t="s">
        <v>85</v>
      </c>
      <c r="C2" s="68"/>
      <c r="D2" s="68"/>
      <c r="E2" s="68"/>
      <c r="F2" s="68"/>
      <c r="G2" s="68"/>
      <c r="H2" s="68"/>
      <c r="I2" s="68"/>
      <c r="J2" s="68"/>
      <c r="K2" s="68"/>
      <c r="L2" s="68"/>
      <c r="M2" s="68"/>
      <c r="N2" s="68"/>
      <c r="O2" s="68"/>
      <c r="P2" s="20"/>
    </row>
    <row r="3" spans="1:16" s="2" customFormat="1" ht="40" customHeight="1" x14ac:dyDescent="0.2">
      <c r="A3" s="19"/>
      <c r="B3" s="23"/>
      <c r="C3" s="23"/>
      <c r="D3" s="69" t="s">
        <v>10</v>
      </c>
      <c r="E3" s="69"/>
      <c r="F3" s="24" t="s">
        <v>38</v>
      </c>
      <c r="G3" s="69" t="s">
        <v>41</v>
      </c>
      <c r="H3" s="69"/>
      <c r="I3" s="69"/>
      <c r="J3" s="69"/>
      <c r="K3" s="69" t="s">
        <v>36</v>
      </c>
      <c r="L3" s="69"/>
      <c r="M3" s="69"/>
      <c r="N3" s="24" t="s">
        <v>43</v>
      </c>
      <c r="O3" s="23"/>
      <c r="P3" s="21"/>
    </row>
    <row r="4" spans="1:16" s="2" customFormat="1" ht="40.5" customHeight="1" x14ac:dyDescent="0.2">
      <c r="A4" s="19"/>
      <c r="B4" s="25" t="s">
        <v>0</v>
      </c>
      <c r="C4" s="25" t="s">
        <v>6</v>
      </c>
      <c r="D4" s="25" t="s">
        <v>42</v>
      </c>
      <c r="E4" s="25" t="s">
        <v>1</v>
      </c>
      <c r="F4" s="25" t="s">
        <v>3</v>
      </c>
      <c r="G4" s="25" t="s">
        <v>9</v>
      </c>
      <c r="H4" s="25" t="s">
        <v>55</v>
      </c>
      <c r="I4" s="25" t="s">
        <v>5</v>
      </c>
      <c r="J4" s="25" t="s">
        <v>7</v>
      </c>
      <c r="K4" s="25" t="s">
        <v>34</v>
      </c>
      <c r="L4" s="25" t="s">
        <v>35</v>
      </c>
      <c r="M4" s="25" t="s">
        <v>37</v>
      </c>
      <c r="N4" s="25" t="s">
        <v>8</v>
      </c>
      <c r="O4" s="25" t="s">
        <v>2</v>
      </c>
      <c r="P4" s="21"/>
    </row>
    <row r="5" spans="1:16" ht="15.5" customHeight="1" x14ac:dyDescent="0.2">
      <c r="A5" s="18"/>
      <c r="B5" s="26" t="s">
        <v>31</v>
      </c>
      <c r="C5" s="27">
        <v>3</v>
      </c>
      <c r="D5" s="27">
        <f>(3.14*(0.175/2)^2)*2 + 0.175*3.14*0.072</f>
        <v>8.7645249999999994E-2</v>
      </c>
      <c r="E5" s="28">
        <f t="shared" ref="E5:E26" si="0">D5*C5</f>
        <v>0.26293574999999997</v>
      </c>
      <c r="F5" s="29" t="s">
        <v>39</v>
      </c>
      <c r="G5" s="30">
        <f>E5*VLOOKUP(F5,'Environment Options'!$A$2:$B$6,2,FALSE)</f>
        <v>2629.3574999999996</v>
      </c>
      <c r="H5" s="27">
        <v>0</v>
      </c>
      <c r="I5" s="31">
        <v>0</v>
      </c>
      <c r="J5" s="32">
        <f>G5 + H5 + I5</f>
        <v>2629.3574999999996</v>
      </c>
      <c r="K5" s="33"/>
      <c r="L5" s="34"/>
      <c r="M5" s="34"/>
      <c r="N5" s="35">
        <f>J5/(10^M5)</f>
        <v>2629.3574999999996</v>
      </c>
      <c r="O5" s="11"/>
      <c r="P5" s="20"/>
    </row>
    <row r="6" spans="1:16" s="2" customFormat="1" ht="15" x14ac:dyDescent="0.2">
      <c r="A6" s="19"/>
      <c r="B6" s="36" t="s">
        <v>33</v>
      </c>
      <c r="C6" s="31">
        <v>2</v>
      </c>
      <c r="D6" s="31">
        <f>0.166*0.16*2 + 0.16*3.14*0.283</f>
        <v>0.19529920000000001</v>
      </c>
      <c r="E6" s="28">
        <f t="shared" si="0"/>
        <v>0.39059840000000001</v>
      </c>
      <c r="F6" s="29" t="s">
        <v>44</v>
      </c>
      <c r="G6" s="30">
        <f>E6*VLOOKUP(F6,'Environment Options'!$A$2:$B$6,2,FALSE)</f>
        <v>39059.840000000004</v>
      </c>
      <c r="H6" s="31">
        <v>0</v>
      </c>
      <c r="I6" s="31">
        <v>0</v>
      </c>
      <c r="J6" s="32">
        <f t="shared" ref="J6:J26" si="1">G6 + H6 + I6</f>
        <v>39059.840000000004</v>
      </c>
      <c r="K6" s="31"/>
      <c r="L6" s="37"/>
      <c r="M6" s="37"/>
      <c r="N6" s="35">
        <f t="shared" ref="N6:N26" si="2">J6/(10^M6)</f>
        <v>39059.840000000004</v>
      </c>
      <c r="O6" s="38"/>
      <c r="P6" s="21"/>
    </row>
    <row r="7" spans="1:16" s="2" customFormat="1" ht="15" x14ac:dyDescent="0.2">
      <c r="A7" s="19"/>
      <c r="B7" s="36" t="s">
        <v>11</v>
      </c>
      <c r="C7" s="31">
        <v>6</v>
      </c>
      <c r="D7" s="39">
        <f>0.015*0.0155*2 + 0.015*0.046*2 + 0.0155*0.046*2</f>
        <v>3.2709999999999996E-3</v>
      </c>
      <c r="E7" s="28">
        <f t="shared" si="0"/>
        <v>1.9625999999999998E-2</v>
      </c>
      <c r="F7" s="29" t="s">
        <v>44</v>
      </c>
      <c r="G7" s="30">
        <f>E7*VLOOKUP(F7,'Environment Options'!$A$2:$B$6,2,FALSE)</f>
        <v>1962.5999999999997</v>
      </c>
      <c r="H7" s="31">
        <v>0</v>
      </c>
      <c r="I7" s="31">
        <v>0</v>
      </c>
      <c r="J7" s="32">
        <f t="shared" si="1"/>
        <v>1962.5999999999997</v>
      </c>
      <c r="K7" s="31"/>
      <c r="L7" s="37"/>
      <c r="M7" s="37"/>
      <c r="N7" s="35">
        <f t="shared" si="2"/>
        <v>1962.5999999999997</v>
      </c>
      <c r="O7" s="38"/>
      <c r="P7" s="21"/>
    </row>
    <row r="8" spans="1:16" s="2" customFormat="1" ht="15" x14ac:dyDescent="0.2">
      <c r="A8" s="19"/>
      <c r="B8" s="36" t="s">
        <v>32</v>
      </c>
      <c r="C8" s="31">
        <v>1</v>
      </c>
      <c r="D8" s="39">
        <f>3.14*(0.0737/2)^2 + 0.0737*3.14*0.0889</f>
        <v>2.4836936850000005E-2</v>
      </c>
      <c r="E8" s="28">
        <f t="shared" si="0"/>
        <v>2.4836936850000005E-2</v>
      </c>
      <c r="F8" s="29" t="s">
        <v>39</v>
      </c>
      <c r="G8" s="30">
        <f>E8*VLOOKUP(F8,'Environment Options'!$A$2:$B$6,2,FALSE)</f>
        <v>248.36936850000004</v>
      </c>
      <c r="H8" s="31">
        <v>0</v>
      </c>
      <c r="I8" s="31">
        <f>3.14*(7.37/2)^2*8.89*75</f>
        <v>28429.397563875005</v>
      </c>
      <c r="J8" s="32">
        <f t="shared" si="1"/>
        <v>28677.766932375005</v>
      </c>
      <c r="K8" s="31"/>
      <c r="L8" s="37"/>
      <c r="M8" s="37"/>
      <c r="N8" s="35">
        <f t="shared" si="2"/>
        <v>28677.766932375005</v>
      </c>
      <c r="O8" s="38"/>
      <c r="P8" s="21"/>
    </row>
    <row r="9" spans="1:16" s="2" customFormat="1" ht="15" x14ac:dyDescent="0.2">
      <c r="A9" s="19"/>
      <c r="B9" s="36" t="s">
        <v>12</v>
      </c>
      <c r="C9" s="31">
        <v>1</v>
      </c>
      <c r="D9" s="31">
        <f>0.1*0.094*2</f>
        <v>1.8800000000000001E-2</v>
      </c>
      <c r="E9" s="34">
        <f t="shared" si="0"/>
        <v>1.8800000000000001E-2</v>
      </c>
      <c r="F9" s="29" t="s">
        <v>44</v>
      </c>
      <c r="G9" s="30">
        <f>E9*VLOOKUP(F9,'Environment Options'!$A$2:$B$6,2,FALSE)</f>
        <v>1880</v>
      </c>
      <c r="H9" s="31">
        <v>0</v>
      </c>
      <c r="I9" s="31">
        <f>1*9.4*75</f>
        <v>705</v>
      </c>
      <c r="J9" s="32">
        <f>G9 + H9 + I9</f>
        <v>2585</v>
      </c>
      <c r="K9" s="31"/>
      <c r="L9" s="37"/>
      <c r="M9" s="37"/>
      <c r="N9" s="35">
        <f>J9/(10^M9)</f>
        <v>2585</v>
      </c>
      <c r="O9" s="38"/>
      <c r="P9" s="21"/>
    </row>
    <row r="10" spans="1:16" s="2" customFormat="1" ht="15" x14ac:dyDescent="0.2">
      <c r="A10" s="19"/>
      <c r="B10" s="36" t="s">
        <v>13</v>
      </c>
      <c r="C10" s="31">
        <v>1</v>
      </c>
      <c r="D10" s="31">
        <v>0</v>
      </c>
      <c r="E10" s="34">
        <f t="shared" si="0"/>
        <v>0</v>
      </c>
      <c r="F10" s="29" t="s">
        <v>44</v>
      </c>
      <c r="G10" s="30">
        <f>E10*VLOOKUP(F10,'Environment Options'!$A$2:$B$6,2,FALSE)</f>
        <v>0</v>
      </c>
      <c r="H10" s="31">
        <v>0</v>
      </c>
      <c r="I10" s="31">
        <v>300</v>
      </c>
      <c r="J10" s="32">
        <f t="shared" si="1"/>
        <v>300</v>
      </c>
      <c r="K10" s="31"/>
      <c r="L10" s="37"/>
      <c r="M10" s="37"/>
      <c r="N10" s="35">
        <f t="shared" si="2"/>
        <v>300</v>
      </c>
      <c r="O10" s="38"/>
      <c r="P10" s="21"/>
    </row>
    <row r="11" spans="1:16" s="2" customFormat="1" ht="15" x14ac:dyDescent="0.2">
      <c r="A11" s="19"/>
      <c r="B11" s="36" t="s">
        <v>14</v>
      </c>
      <c r="C11" s="31">
        <v>1</v>
      </c>
      <c r="D11" s="31">
        <f>0.3*0.4*4 + 0.3*0.7*4 + 0.4*0.7*4</f>
        <v>2.4399999999999995</v>
      </c>
      <c r="E11" s="34">
        <f t="shared" si="0"/>
        <v>2.4399999999999995</v>
      </c>
      <c r="F11" s="29" t="s">
        <v>44</v>
      </c>
      <c r="G11" s="30">
        <f>E11*VLOOKUP(F11,'Environment Options'!$A$2:$B$6,2,FALSE)</f>
        <v>243999.99999999994</v>
      </c>
      <c r="H11" s="31">
        <v>0</v>
      </c>
      <c r="I11" s="31">
        <v>0</v>
      </c>
      <c r="J11" s="32">
        <f t="shared" si="1"/>
        <v>243999.99999999994</v>
      </c>
      <c r="K11" s="31"/>
      <c r="L11" s="37"/>
      <c r="M11" s="37"/>
      <c r="N11" s="35">
        <f t="shared" si="2"/>
        <v>243999.99999999994</v>
      </c>
      <c r="O11" s="38"/>
      <c r="P11" s="21"/>
    </row>
    <row r="12" spans="1:16" s="2" customFormat="1" ht="15" x14ac:dyDescent="0.2">
      <c r="A12" s="19"/>
      <c r="B12" s="36" t="s">
        <v>29</v>
      </c>
      <c r="C12" s="31">
        <v>1</v>
      </c>
      <c r="D12" s="31">
        <f>0.381</f>
        <v>0.38100000000000001</v>
      </c>
      <c r="E12" s="34">
        <f t="shared" si="0"/>
        <v>0.38100000000000001</v>
      </c>
      <c r="F12" s="29" t="s">
        <v>44</v>
      </c>
      <c r="G12" s="30">
        <f>E12*VLOOKUP(F12,'Environment Options'!$A$2:$B$6,2,FALSE)</f>
        <v>38100</v>
      </c>
      <c r="H12" s="31">
        <v>0</v>
      </c>
      <c r="I12" s="31">
        <v>0</v>
      </c>
      <c r="J12" s="32">
        <f t="shared" si="1"/>
        <v>38100</v>
      </c>
      <c r="K12" s="31"/>
      <c r="L12" s="37"/>
      <c r="M12" s="37"/>
      <c r="N12" s="35">
        <f t="shared" si="2"/>
        <v>38100</v>
      </c>
      <c r="O12" s="38"/>
      <c r="P12" s="21"/>
    </row>
    <row r="13" spans="1:16" s="2" customFormat="1" ht="15" x14ac:dyDescent="0.2">
      <c r="A13" s="19"/>
      <c r="B13" s="36" t="s">
        <v>15</v>
      </c>
      <c r="C13" s="31">
        <v>2</v>
      </c>
      <c r="D13" s="31">
        <f>0.2237*0.09144*2 + 0.1016*0.2237*2 + 0.09144*0.1016*2</f>
        <v>0.104946704</v>
      </c>
      <c r="E13" s="28">
        <f t="shared" si="0"/>
        <v>0.209893408</v>
      </c>
      <c r="F13" s="29" t="s">
        <v>44</v>
      </c>
      <c r="G13" s="30">
        <f>E13*VLOOKUP(F13,'Environment Options'!$A$2:$B$6,2,FALSE)</f>
        <v>20989.340800000002</v>
      </c>
      <c r="H13" s="31">
        <v>0</v>
      </c>
      <c r="I13" s="31">
        <v>0</v>
      </c>
      <c r="J13" s="32">
        <f t="shared" si="1"/>
        <v>20989.340800000002</v>
      </c>
      <c r="K13" s="31"/>
      <c r="L13" s="37"/>
      <c r="M13" s="37"/>
      <c r="N13" s="35">
        <f t="shared" si="2"/>
        <v>20989.340800000002</v>
      </c>
      <c r="O13" s="38"/>
      <c r="P13" s="21"/>
    </row>
    <row r="14" spans="1:16" s="2" customFormat="1" ht="15" x14ac:dyDescent="0.2">
      <c r="A14" s="19"/>
      <c r="B14" s="36" t="s">
        <v>16</v>
      </c>
      <c r="C14" s="31">
        <v>1</v>
      </c>
      <c r="D14" s="31">
        <v>0</v>
      </c>
      <c r="E14" s="34">
        <f t="shared" si="0"/>
        <v>0</v>
      </c>
      <c r="F14" s="29" t="s">
        <v>44</v>
      </c>
      <c r="G14" s="30">
        <f>E14*VLOOKUP(F14,'Environment Options'!$A$2:$B$6,2,FALSE)</f>
        <v>0</v>
      </c>
      <c r="H14" s="31">
        <v>300</v>
      </c>
      <c r="I14" s="31">
        <v>0</v>
      </c>
      <c r="J14" s="32">
        <f t="shared" si="1"/>
        <v>300</v>
      </c>
      <c r="K14" s="31"/>
      <c r="L14" s="37"/>
      <c r="M14" s="37"/>
      <c r="N14" s="35">
        <f t="shared" si="2"/>
        <v>300</v>
      </c>
      <c r="O14" s="38"/>
      <c r="P14" s="21"/>
    </row>
    <row r="15" spans="1:16" s="2" customFormat="1" ht="15" x14ac:dyDescent="0.2">
      <c r="A15" s="19"/>
      <c r="B15" s="36" t="s">
        <v>17</v>
      </c>
      <c r="C15" s="31">
        <v>2</v>
      </c>
      <c r="D15" s="31">
        <f>0.4*1.5</f>
        <v>0.60000000000000009</v>
      </c>
      <c r="E15" s="34">
        <f t="shared" si="0"/>
        <v>1.2000000000000002</v>
      </c>
      <c r="F15" s="29" t="s">
        <v>44</v>
      </c>
      <c r="G15" s="30">
        <f>E15*VLOOKUP(F15,'Environment Options'!$A$2:$B$6,2,FALSE)</f>
        <v>120000.00000000001</v>
      </c>
      <c r="H15" s="31">
        <v>0</v>
      </c>
      <c r="I15" s="31">
        <v>0</v>
      </c>
      <c r="J15" s="32">
        <f t="shared" si="1"/>
        <v>120000.00000000001</v>
      </c>
      <c r="K15" s="31"/>
      <c r="L15" s="37"/>
      <c r="M15" s="37"/>
      <c r="N15" s="35">
        <f t="shared" si="2"/>
        <v>120000.00000000001</v>
      </c>
      <c r="O15" s="38"/>
      <c r="P15" s="21"/>
    </row>
    <row r="16" spans="1:16" s="2" customFormat="1" ht="15" x14ac:dyDescent="0.2">
      <c r="A16" s="19"/>
      <c r="B16" s="36" t="s">
        <v>18</v>
      </c>
      <c r="C16" s="31">
        <v>2</v>
      </c>
      <c r="D16" s="31">
        <f>0.09589*0.09017*2 + 0.05694*0.09589*2 + 0.05694*0.09017*2</f>
        <v>3.84813154E-2</v>
      </c>
      <c r="E16" s="34">
        <f t="shared" si="0"/>
        <v>7.6962630800000001E-2</v>
      </c>
      <c r="F16" s="29" t="s">
        <v>44</v>
      </c>
      <c r="G16" s="30">
        <f>E16*VLOOKUP(F16,'Environment Options'!$A$2:$B$6,2,FALSE)</f>
        <v>7696.2630799999997</v>
      </c>
      <c r="H16" s="31">
        <f>9.589*9.017*5.694*130*0.5*C16</f>
        <v>64002.391702859997</v>
      </c>
      <c r="I16" s="31">
        <v>0</v>
      </c>
      <c r="J16" s="32">
        <f t="shared" si="1"/>
        <v>71698.654782860001</v>
      </c>
      <c r="K16" s="31"/>
      <c r="L16" s="37"/>
      <c r="M16" s="37"/>
      <c r="N16" s="35">
        <f t="shared" si="2"/>
        <v>71698.654782860001</v>
      </c>
      <c r="O16" s="38"/>
      <c r="P16" s="21"/>
    </row>
    <row r="17" spans="1:16" s="2" customFormat="1" ht="15" x14ac:dyDescent="0.2">
      <c r="A17" s="19"/>
      <c r="B17" s="36" t="s">
        <v>19</v>
      </c>
      <c r="C17" s="31">
        <v>1</v>
      </c>
      <c r="D17" s="31">
        <f>0.127*0.127*2</f>
        <v>3.2258000000000002E-2</v>
      </c>
      <c r="E17" s="28">
        <f t="shared" si="0"/>
        <v>3.2258000000000002E-2</v>
      </c>
      <c r="F17" s="29" t="s">
        <v>44</v>
      </c>
      <c r="G17" s="30">
        <f>E17*VLOOKUP(F17,'Environment Options'!$A$2:$B$6,2,FALSE)</f>
        <v>3225.8</v>
      </c>
      <c r="H17" s="31">
        <v>0</v>
      </c>
      <c r="I17" s="31">
        <f>1.27*1.27*75</f>
        <v>120.9675</v>
      </c>
      <c r="J17" s="32">
        <f t="shared" si="1"/>
        <v>3346.7675000000004</v>
      </c>
      <c r="K17" s="31"/>
      <c r="L17" s="37"/>
      <c r="M17" s="37"/>
      <c r="N17" s="35">
        <f t="shared" si="2"/>
        <v>3346.7675000000004</v>
      </c>
      <c r="O17" s="38"/>
      <c r="P17" s="21"/>
    </row>
    <row r="18" spans="1:16" s="2" customFormat="1" ht="30" x14ac:dyDescent="0.2">
      <c r="A18" s="19"/>
      <c r="B18" s="36" t="s">
        <v>20</v>
      </c>
      <c r="C18" s="31">
        <v>1</v>
      </c>
      <c r="D18" s="31">
        <f>0.22*0.22*2 + 0.2*0.22*4</f>
        <v>0.27280000000000004</v>
      </c>
      <c r="E18" s="34">
        <f t="shared" si="0"/>
        <v>0.27280000000000004</v>
      </c>
      <c r="F18" s="29" t="s">
        <v>40</v>
      </c>
      <c r="G18" s="30">
        <f>E18*VLOOKUP(F18,'Environment Options'!$A$2:$B$6,2,FALSE)</f>
        <v>136.40000000000003</v>
      </c>
      <c r="H18" s="31">
        <v>0</v>
      </c>
      <c r="I18" s="31">
        <v>0</v>
      </c>
      <c r="J18" s="32">
        <f t="shared" si="1"/>
        <v>136.40000000000003</v>
      </c>
      <c r="K18" s="31"/>
      <c r="L18" s="37"/>
      <c r="M18" s="37"/>
      <c r="N18" s="35">
        <f t="shared" si="2"/>
        <v>136.40000000000003</v>
      </c>
      <c r="O18" s="38"/>
      <c r="P18" s="21"/>
    </row>
    <row r="19" spans="1:16" s="2" customFormat="1" ht="15" x14ac:dyDescent="0.2">
      <c r="A19" s="19"/>
      <c r="B19" s="36" t="s">
        <v>21</v>
      </c>
      <c r="C19" s="31">
        <v>1</v>
      </c>
      <c r="D19" s="31">
        <f>0.05*0.1*4 + 0.1*0.1*2</f>
        <v>4.0000000000000008E-2</v>
      </c>
      <c r="E19" s="34">
        <f t="shared" si="0"/>
        <v>4.0000000000000008E-2</v>
      </c>
      <c r="F19" s="29" t="s">
        <v>39</v>
      </c>
      <c r="G19" s="30">
        <f>E19*VLOOKUP(F19,'Environment Options'!$A$2:$B$6,2,FALSE)</f>
        <v>400.00000000000006</v>
      </c>
      <c r="H19" s="31">
        <v>0</v>
      </c>
      <c r="I19" s="31">
        <v>500</v>
      </c>
      <c r="J19" s="32">
        <f t="shared" si="1"/>
        <v>900</v>
      </c>
      <c r="K19" s="31"/>
      <c r="L19" s="37"/>
      <c r="M19" s="37"/>
      <c r="N19" s="35">
        <f t="shared" si="2"/>
        <v>900</v>
      </c>
      <c r="O19" s="38"/>
      <c r="P19" s="21"/>
    </row>
    <row r="20" spans="1:16" s="2" customFormat="1" ht="15" x14ac:dyDescent="0.2">
      <c r="A20" s="19"/>
      <c r="B20" s="36" t="s">
        <v>22</v>
      </c>
      <c r="C20" s="31">
        <v>1</v>
      </c>
      <c r="D20" s="31">
        <f>0.1*0.1*2</f>
        <v>2.0000000000000004E-2</v>
      </c>
      <c r="E20" s="34">
        <f t="shared" si="0"/>
        <v>2.0000000000000004E-2</v>
      </c>
      <c r="F20" s="29" t="s">
        <v>44</v>
      </c>
      <c r="G20" s="30">
        <f>E20*VLOOKUP(F20,'Environment Options'!$A$2:$B$6,2,FALSE)</f>
        <v>2000.0000000000005</v>
      </c>
      <c r="H20" s="31">
        <v>0</v>
      </c>
      <c r="I20" s="31">
        <v>0</v>
      </c>
      <c r="J20" s="32">
        <f t="shared" si="1"/>
        <v>2000.0000000000005</v>
      </c>
      <c r="K20" s="31"/>
      <c r="L20" s="37"/>
      <c r="M20" s="37"/>
      <c r="N20" s="35">
        <f t="shared" si="2"/>
        <v>2000.0000000000005</v>
      </c>
      <c r="O20" s="38"/>
      <c r="P20" s="21"/>
    </row>
    <row r="21" spans="1:16" s="2" customFormat="1" ht="30" x14ac:dyDescent="0.2">
      <c r="A21" s="19"/>
      <c r="B21" s="36" t="s">
        <v>23</v>
      </c>
      <c r="C21" s="31">
        <v>4</v>
      </c>
      <c r="D21" s="31">
        <f>0.04*0.04*2</f>
        <v>3.2000000000000002E-3</v>
      </c>
      <c r="E21" s="34">
        <f t="shared" si="0"/>
        <v>1.2800000000000001E-2</v>
      </c>
      <c r="F21" s="29" t="s">
        <v>44</v>
      </c>
      <c r="G21" s="30">
        <f>E21*VLOOKUP(F21,'Environment Options'!$A$2:$B$6,2,FALSE)</f>
        <v>1280</v>
      </c>
      <c r="H21" s="31">
        <v>0</v>
      </c>
      <c r="I21" s="31">
        <v>0</v>
      </c>
      <c r="J21" s="32">
        <f t="shared" si="1"/>
        <v>1280</v>
      </c>
      <c r="K21" s="31"/>
      <c r="L21" s="37"/>
      <c r="M21" s="37"/>
      <c r="N21" s="35">
        <f t="shared" si="2"/>
        <v>1280</v>
      </c>
      <c r="O21" s="38"/>
      <c r="P21" s="21"/>
    </row>
    <row r="22" spans="1:16" ht="15" x14ac:dyDescent="0.2">
      <c r="A22" s="18"/>
      <c r="B22" s="36" t="s">
        <v>24</v>
      </c>
      <c r="C22" s="31">
        <v>1</v>
      </c>
      <c r="D22" s="31">
        <f>0.096*0.09*2 + 0.09*0.01651*2 + 0.096*0.06151*2</f>
        <v>3.2061720000000002E-2</v>
      </c>
      <c r="E22" s="28">
        <f t="shared" si="0"/>
        <v>3.2061720000000002E-2</v>
      </c>
      <c r="F22" s="29" t="s">
        <v>44</v>
      </c>
      <c r="G22" s="30">
        <f>E22*VLOOKUP(F22,'Environment Options'!$A$2:$B$6,2,FALSE)</f>
        <v>3206.172</v>
      </c>
      <c r="H22" s="31">
        <v>0</v>
      </c>
      <c r="I22" s="31">
        <f>9*9.6*1.6151*75</f>
        <v>10465.847999999998</v>
      </c>
      <c r="J22" s="32">
        <f t="shared" si="1"/>
        <v>13672.019999999999</v>
      </c>
      <c r="K22" s="31"/>
      <c r="L22" s="37"/>
      <c r="M22" s="37"/>
      <c r="N22" s="35">
        <f t="shared" si="2"/>
        <v>13672.019999999999</v>
      </c>
      <c r="O22" s="11"/>
      <c r="P22" s="20"/>
    </row>
    <row r="23" spans="1:16" ht="15" x14ac:dyDescent="0.2">
      <c r="A23" s="18"/>
      <c r="B23" s="36" t="s">
        <v>25</v>
      </c>
      <c r="C23" s="31">
        <v>1</v>
      </c>
      <c r="D23" s="31">
        <f>0.2159*0.2159*2 + 0.2159*0.006731*4</f>
        <v>9.9038511600000004E-2</v>
      </c>
      <c r="E23" s="28">
        <f t="shared" si="0"/>
        <v>9.9038511600000004E-2</v>
      </c>
      <c r="F23" s="29" t="s">
        <v>44</v>
      </c>
      <c r="G23" s="30">
        <f>E23*VLOOKUP(F23,'Environment Options'!$A$2:$B$6,2,FALSE)</f>
        <v>9903.8511600000002</v>
      </c>
      <c r="H23" s="31">
        <v>0</v>
      </c>
      <c r="I23" s="31">
        <v>0</v>
      </c>
      <c r="J23" s="32">
        <f t="shared" si="1"/>
        <v>9903.8511600000002</v>
      </c>
      <c r="K23" s="31"/>
      <c r="L23" s="37"/>
      <c r="M23" s="37"/>
      <c r="N23" s="35">
        <f t="shared" si="2"/>
        <v>9903.8511600000002</v>
      </c>
      <c r="O23" s="11"/>
      <c r="P23" s="20"/>
    </row>
    <row r="24" spans="1:16" ht="15" x14ac:dyDescent="0.2">
      <c r="A24" s="18"/>
      <c r="B24" s="36" t="s">
        <v>26</v>
      </c>
      <c r="C24" s="31">
        <v>1</v>
      </c>
      <c r="D24" s="31">
        <f>0.2*0.4</f>
        <v>8.0000000000000016E-2</v>
      </c>
      <c r="E24" s="34">
        <f t="shared" si="0"/>
        <v>8.0000000000000016E-2</v>
      </c>
      <c r="F24" s="29" t="s">
        <v>44</v>
      </c>
      <c r="G24" s="30">
        <f>E24*VLOOKUP(F24,'Environment Options'!$A$2:$B$6,2,FALSE)</f>
        <v>8000.0000000000018</v>
      </c>
      <c r="H24" s="31">
        <v>0</v>
      </c>
      <c r="I24" s="31">
        <v>0</v>
      </c>
      <c r="J24" s="32">
        <f t="shared" si="1"/>
        <v>8000.0000000000018</v>
      </c>
      <c r="K24" s="31"/>
      <c r="L24" s="37"/>
      <c r="M24" s="37"/>
      <c r="N24" s="35">
        <f t="shared" si="2"/>
        <v>8000.0000000000018</v>
      </c>
      <c r="O24" s="11"/>
      <c r="P24" s="20"/>
    </row>
    <row r="25" spans="1:16" ht="15" x14ac:dyDescent="0.2">
      <c r="A25" s="18"/>
      <c r="B25" s="40" t="s">
        <v>27</v>
      </c>
      <c r="C25" s="31">
        <v>1</v>
      </c>
      <c r="D25" s="31">
        <f>0.2*0.094*2</f>
        <v>3.7600000000000001E-2</v>
      </c>
      <c r="E25" s="34">
        <f t="shared" si="0"/>
        <v>3.7600000000000001E-2</v>
      </c>
      <c r="F25" s="29" t="s">
        <v>40</v>
      </c>
      <c r="G25" s="30">
        <f>E25*VLOOKUP(F25,'Environment Options'!$A$2:$B$6,2,FALSE)</f>
        <v>18.8</v>
      </c>
      <c r="H25" s="32">
        <v>0</v>
      </c>
      <c r="I25" s="31">
        <v>0</v>
      </c>
      <c r="J25" s="32">
        <f t="shared" si="1"/>
        <v>18.8</v>
      </c>
      <c r="K25" s="41"/>
      <c r="L25" s="41"/>
      <c r="M25" s="41"/>
      <c r="N25" s="35">
        <f t="shared" si="2"/>
        <v>18.8</v>
      </c>
      <c r="O25" s="11"/>
      <c r="P25" s="20"/>
    </row>
    <row r="26" spans="1:16" ht="15" x14ac:dyDescent="0.2">
      <c r="A26" s="18"/>
      <c r="B26" s="40" t="s">
        <v>28</v>
      </c>
      <c r="C26" s="31">
        <v>1</v>
      </c>
      <c r="D26" s="28">
        <v>0.2099</v>
      </c>
      <c r="E26" s="34">
        <f t="shared" si="0"/>
        <v>0.2099</v>
      </c>
      <c r="F26" s="29" t="s">
        <v>40</v>
      </c>
      <c r="G26" s="30">
        <f>E26*VLOOKUP(F26,'Environment Options'!$A$2:$B$6,2,FALSE)</f>
        <v>104.95</v>
      </c>
      <c r="H26" s="32">
        <v>0</v>
      </c>
      <c r="I26" s="31">
        <v>0</v>
      </c>
      <c r="J26" s="32">
        <f t="shared" si="1"/>
        <v>104.95</v>
      </c>
      <c r="K26" s="41"/>
      <c r="L26" s="41"/>
      <c r="M26" s="41"/>
      <c r="N26" s="35">
        <f t="shared" si="2"/>
        <v>104.95</v>
      </c>
      <c r="O26" s="11"/>
      <c r="P26" s="20"/>
    </row>
    <row r="27" spans="1:16" ht="14" x14ac:dyDescent="0.2">
      <c r="A27" s="18"/>
      <c r="B27" s="41"/>
      <c r="C27" s="41"/>
      <c r="D27" s="41"/>
      <c r="E27" s="41"/>
      <c r="F27" s="41"/>
      <c r="G27" s="41"/>
      <c r="H27" s="41"/>
      <c r="I27" s="41"/>
      <c r="J27" s="41"/>
      <c r="K27" s="41"/>
      <c r="L27" s="41"/>
      <c r="M27" s="41"/>
      <c r="N27" s="11"/>
      <c r="O27" s="11"/>
      <c r="P27" s="20"/>
    </row>
    <row r="28" spans="1:16" ht="14" x14ac:dyDescent="0.2">
      <c r="A28" s="18"/>
      <c r="B28" s="42" t="s">
        <v>30</v>
      </c>
      <c r="C28" s="43"/>
      <c r="D28" s="44"/>
      <c r="E28" s="45">
        <f>SUM(E5:E26)</f>
        <v>5.8611113572499995</v>
      </c>
      <c r="F28" s="43"/>
      <c r="G28" s="44">
        <f>SUM(G5:G26)</f>
        <v>504841.74390850001</v>
      </c>
      <c r="H28" s="44">
        <f>SUM(H5:H26)</f>
        <v>64302.391702859997</v>
      </c>
      <c r="I28" s="44">
        <f>SUM(I5:I26)</f>
        <v>40521.213063875002</v>
      </c>
      <c r="J28" s="44">
        <f>SUM(J5:J26)</f>
        <v>609665.34867523494</v>
      </c>
      <c r="K28" s="43"/>
      <c r="L28" s="43"/>
      <c r="M28" s="43"/>
      <c r="N28" s="35">
        <f>SUM(N5:N26)</f>
        <v>609665.34867523494</v>
      </c>
      <c r="O28" s="43"/>
      <c r="P28" s="20"/>
    </row>
    <row r="29" spans="1:16" ht="16" customHeight="1" x14ac:dyDescent="0.2">
      <c r="A29" s="17"/>
      <c r="B29" s="22"/>
      <c r="C29" s="22"/>
      <c r="D29" s="22"/>
      <c r="E29" s="22"/>
      <c r="F29" s="22"/>
      <c r="G29" s="22"/>
      <c r="H29" s="22"/>
      <c r="I29" s="22"/>
      <c r="J29" s="22"/>
      <c r="K29" s="22"/>
      <c r="L29" s="22"/>
      <c r="M29" s="22"/>
      <c r="N29" s="22"/>
      <c r="O29" s="22"/>
      <c r="P29" s="17"/>
    </row>
    <row r="30" spans="1:16" ht="14" x14ac:dyDescent="0.2">
      <c r="B30" s="14"/>
      <c r="C30" s="14"/>
      <c r="D30" s="14"/>
      <c r="E30" s="14"/>
      <c r="F30" s="15"/>
      <c r="G30" s="14"/>
      <c r="H30" s="14"/>
      <c r="I30" s="14"/>
      <c r="J30" s="14"/>
      <c r="K30" s="14"/>
      <c r="L30" s="14"/>
      <c r="M30" s="14"/>
      <c r="N30" s="14"/>
      <c r="O30" s="14"/>
    </row>
    <row r="31" spans="1:16" ht="14" x14ac:dyDescent="0.2">
      <c r="B31" s="11"/>
      <c r="C31" s="11"/>
      <c r="D31" s="11"/>
      <c r="E31" s="11"/>
      <c r="F31" s="11"/>
      <c r="G31" s="11"/>
      <c r="H31" s="11"/>
      <c r="I31" s="11"/>
      <c r="J31" s="11"/>
      <c r="K31" s="11"/>
      <c r="L31" s="11"/>
      <c r="M31" s="11"/>
      <c r="N31" s="11"/>
      <c r="O31" s="11"/>
    </row>
    <row r="32" spans="1:16" ht="14" x14ac:dyDescent="0.2">
      <c r="B32" s="11"/>
      <c r="C32" s="11"/>
      <c r="D32" s="11"/>
      <c r="E32" s="11"/>
      <c r="F32" s="11"/>
      <c r="G32" s="11"/>
      <c r="H32" s="11"/>
      <c r="I32" s="11"/>
      <c r="J32" s="11"/>
      <c r="K32" s="11"/>
      <c r="L32" s="11"/>
      <c r="M32" s="11"/>
      <c r="N32" s="11"/>
      <c r="O32" s="11"/>
    </row>
    <row r="33" spans="2:15" ht="14" x14ac:dyDescent="0.2">
      <c r="B33" s="12"/>
      <c r="C33" s="12"/>
      <c r="D33" s="12"/>
      <c r="E33" s="12"/>
      <c r="F33" s="12"/>
      <c r="G33" s="11"/>
      <c r="H33" s="12"/>
      <c r="I33" s="12"/>
      <c r="J33" s="12"/>
      <c r="K33" s="12"/>
      <c r="L33" s="12"/>
      <c r="M33" s="12"/>
      <c r="N33" s="11"/>
      <c r="O33" s="11"/>
    </row>
    <row r="34" spans="2:15" ht="14" x14ac:dyDescent="0.2">
      <c r="B34" s="12"/>
      <c r="C34" s="12"/>
      <c r="D34" s="12"/>
      <c r="E34" s="12"/>
      <c r="F34" s="12"/>
      <c r="G34" s="11"/>
      <c r="H34" s="12"/>
      <c r="I34" s="12"/>
      <c r="J34" s="12"/>
      <c r="K34" s="12"/>
      <c r="L34" s="12"/>
      <c r="M34" s="12"/>
      <c r="N34" s="11"/>
      <c r="O34" s="11"/>
    </row>
    <row r="35" spans="2:15" ht="14" x14ac:dyDescent="0.2">
      <c r="B35" s="12"/>
      <c r="C35" s="12"/>
      <c r="D35" s="12"/>
      <c r="E35" s="12"/>
      <c r="F35" s="12"/>
      <c r="G35" s="11"/>
      <c r="H35" s="12"/>
      <c r="I35" s="12"/>
      <c r="J35" s="12"/>
      <c r="K35" s="12"/>
      <c r="L35" s="12"/>
      <c r="M35" s="12"/>
      <c r="N35" s="11"/>
      <c r="O35" s="11"/>
    </row>
    <row r="36" spans="2:15" ht="14" x14ac:dyDescent="0.2">
      <c r="B36" s="12"/>
      <c r="C36" s="12"/>
      <c r="D36" s="12"/>
      <c r="E36" s="12"/>
      <c r="F36" s="12"/>
      <c r="G36" s="11"/>
      <c r="H36" s="12"/>
      <c r="I36" s="12"/>
      <c r="J36" s="12"/>
      <c r="K36" s="12"/>
      <c r="L36" s="12"/>
      <c r="M36" s="12"/>
      <c r="N36" s="11"/>
      <c r="O36" s="11"/>
    </row>
    <row r="37" spans="2:15" ht="14" x14ac:dyDescent="0.2">
      <c r="B37" s="12"/>
      <c r="C37" s="12"/>
      <c r="D37" s="12"/>
      <c r="E37" s="12"/>
      <c r="F37" s="12"/>
      <c r="G37" s="11"/>
      <c r="H37" s="12"/>
      <c r="I37" s="12"/>
      <c r="J37" s="12"/>
      <c r="K37" s="12"/>
      <c r="L37" s="12"/>
      <c r="M37" s="12"/>
      <c r="N37" s="11"/>
      <c r="O37" s="11"/>
    </row>
    <row r="38" spans="2:15" ht="15" x14ac:dyDescent="0.2">
      <c r="B38" s="12"/>
      <c r="C38" s="12"/>
      <c r="D38" s="12"/>
      <c r="E38" s="12"/>
      <c r="F38" s="12"/>
      <c r="G38" s="11"/>
      <c r="H38" s="12" t="s">
        <v>76</v>
      </c>
      <c r="I38" s="12"/>
      <c r="J38" s="12"/>
      <c r="K38" s="12"/>
      <c r="L38" s="12"/>
      <c r="M38" s="12"/>
      <c r="N38" s="11"/>
      <c r="O38" s="11"/>
    </row>
    <row r="39" spans="2:15" ht="14" x14ac:dyDescent="0.2">
      <c r="B39" s="12"/>
      <c r="C39" s="12"/>
      <c r="D39" s="12"/>
      <c r="E39" s="12"/>
      <c r="F39" s="12"/>
      <c r="G39" s="11"/>
      <c r="H39" s="12"/>
      <c r="I39" s="12"/>
      <c r="J39" s="12"/>
      <c r="K39" s="12"/>
      <c r="L39" s="12"/>
      <c r="M39" s="12"/>
      <c r="N39" s="11"/>
      <c r="O39" s="11"/>
    </row>
    <row r="40" spans="2:15" ht="14" x14ac:dyDescent="0.2">
      <c r="B40" s="12"/>
      <c r="C40" s="12"/>
      <c r="D40" s="12"/>
      <c r="E40" s="12"/>
      <c r="F40" s="12"/>
      <c r="G40" s="11" t="s">
        <v>76</v>
      </c>
      <c r="H40" s="12"/>
      <c r="I40" s="12"/>
      <c r="J40" s="12"/>
      <c r="K40" s="12"/>
      <c r="L40" s="12"/>
      <c r="M40" s="12"/>
      <c r="N40" s="11"/>
      <c r="O40" s="11"/>
    </row>
    <row r="41" spans="2:15" ht="14" x14ac:dyDescent="0.2">
      <c r="B41" s="12"/>
      <c r="C41" s="12"/>
      <c r="D41" s="12"/>
      <c r="E41" s="12"/>
      <c r="F41" s="12"/>
      <c r="G41" s="11"/>
      <c r="H41" s="12"/>
      <c r="I41" s="12"/>
      <c r="J41" s="12"/>
      <c r="K41" s="12"/>
      <c r="L41" s="12"/>
      <c r="M41" s="12"/>
      <c r="N41" s="11"/>
      <c r="O41" s="11"/>
    </row>
    <row r="42" spans="2:15" ht="14" x14ac:dyDescent="0.2">
      <c r="B42" s="11"/>
      <c r="C42" s="11"/>
      <c r="D42" s="11"/>
      <c r="E42" s="11"/>
      <c r="F42" s="11"/>
      <c r="G42" s="11"/>
      <c r="H42" s="11"/>
      <c r="I42" s="11"/>
      <c r="J42" s="11"/>
      <c r="K42" s="11"/>
      <c r="L42" s="11"/>
      <c r="M42" s="11"/>
      <c r="N42" s="11"/>
      <c r="O42" s="11"/>
    </row>
    <row r="43" spans="2:15" ht="14" x14ac:dyDescent="0.2">
      <c r="B43" s="11"/>
      <c r="C43" s="11"/>
      <c r="D43" s="11"/>
      <c r="E43" s="11"/>
      <c r="F43" s="11"/>
      <c r="G43" s="11"/>
      <c r="H43" s="11"/>
      <c r="I43" s="11"/>
      <c r="J43" s="11"/>
      <c r="K43" s="11"/>
      <c r="L43" s="11"/>
      <c r="M43" s="11"/>
      <c r="N43" s="11"/>
      <c r="O43" s="11"/>
    </row>
    <row r="44" spans="2:15" ht="14" x14ac:dyDescent="0.2">
      <c r="B44" s="11"/>
      <c r="C44" s="11"/>
      <c r="D44" s="11"/>
      <c r="E44" s="11"/>
      <c r="F44" s="11"/>
      <c r="G44" s="11"/>
      <c r="H44" s="11"/>
      <c r="I44" s="11"/>
      <c r="J44" s="11"/>
      <c r="K44" s="11"/>
      <c r="L44" s="11"/>
      <c r="M44" s="11"/>
      <c r="N44" s="11"/>
      <c r="O44" s="11"/>
    </row>
    <row r="45" spans="2:15" ht="14" x14ac:dyDescent="0.2">
      <c r="B45" s="11"/>
      <c r="C45" s="11"/>
      <c r="D45" s="11"/>
      <c r="E45" s="11"/>
      <c r="F45" s="11"/>
      <c r="G45" s="11"/>
      <c r="H45" s="11"/>
      <c r="I45" s="11"/>
      <c r="J45" s="11"/>
      <c r="K45" s="11"/>
      <c r="L45" s="11"/>
      <c r="M45" s="11"/>
      <c r="N45" s="11"/>
      <c r="O45" s="11"/>
    </row>
    <row r="46" spans="2:15" ht="14" x14ac:dyDescent="0.2">
      <c r="B46" s="11"/>
      <c r="C46" s="11"/>
      <c r="D46" s="11"/>
      <c r="E46" s="11"/>
      <c r="F46" s="11"/>
      <c r="G46" s="11"/>
      <c r="H46" s="11"/>
      <c r="I46" s="11"/>
      <c r="J46" s="11"/>
      <c r="K46" s="11"/>
      <c r="L46" s="11"/>
      <c r="M46" s="11"/>
      <c r="N46" s="11"/>
      <c r="O46" s="11"/>
    </row>
    <row r="47" spans="2:15" ht="14" x14ac:dyDescent="0.2">
      <c r="B47" s="10"/>
      <c r="C47" s="10"/>
      <c r="D47" s="10"/>
      <c r="E47" s="10"/>
      <c r="F47" s="10"/>
      <c r="G47" s="10"/>
      <c r="H47" s="10"/>
      <c r="I47" s="10"/>
      <c r="J47" s="10"/>
      <c r="K47" s="10"/>
      <c r="L47" s="10"/>
      <c r="M47" s="10"/>
      <c r="N47" s="10"/>
      <c r="O47" s="10"/>
    </row>
  </sheetData>
  <mergeCells count="4">
    <mergeCell ref="B2:O2"/>
    <mergeCell ref="D3:E3"/>
    <mergeCell ref="G3:J3"/>
    <mergeCell ref="K3:M3"/>
  </mergeCells>
  <conditionalFormatting sqref="N4:N26">
    <cfRule type="expression" dxfId="3" priority="4">
      <formula>IF(N28&gt;500000, 0, 0)</formula>
    </cfRule>
  </conditionalFormatting>
  <conditionalFormatting sqref="N28">
    <cfRule type="cellIs" dxfId="2" priority="1" operator="greaterThan">
      <formula>500000</formula>
    </cfRule>
    <cfRule type="cellIs" dxfId="1" priority="2" operator="lessThan">
      <formula>500000</formula>
    </cfRule>
    <cfRule type="cellIs" dxfId="0" priority="3" operator="greaterThan">
      <formula>500000</formula>
    </cfRule>
  </conditionalFormatting>
  <pageMargins left="1" right="1" top="1" bottom="1" header="0.3" footer="0.3"/>
  <pageSetup orientation="landscape" r:id="rId1"/>
  <headerFooter>
    <oddHeader>&amp;L&amp;10EVM-3 2019 &amp;KFF0000TEMPLATE
&amp;K000000AO &amp;KFF0000TBD&amp;R&amp;10&lt;Proposal Name&gt; &amp;KFF0000PROPOSAL&amp;11 &amp;10SENSITIVE
&amp;K000000Appendix J.9—MEL</oddHeader>
    <oddFooter>&amp;C&amp;8J.9-&amp;P
Use or disclosure of information contained on this sheet is subject to the restriction on the Restrictive Notice page of this proposal.</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811DA87A-0F2B-4683-92C3-586EE126D954}">
          <x14:formula1>
            <xm:f>'Environment Options'!$A$2:$A$6</xm:f>
          </x14:formula1>
          <xm:sqref>F5:F26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5EB07-7F14-4305-9D2E-957B2321A1C1}">
  <dimension ref="A1:C6"/>
  <sheetViews>
    <sheetView workbookViewId="0">
      <selection activeCell="F8" sqref="F8"/>
    </sheetView>
  </sheetViews>
  <sheetFormatPr baseColWidth="10" defaultColWidth="8.83203125" defaultRowHeight="15" x14ac:dyDescent="0.2"/>
  <cols>
    <col min="1" max="2" width="14.1640625" customWidth="1"/>
    <col min="3" max="3" width="40.6640625" customWidth="1"/>
  </cols>
  <sheetData>
    <row r="1" spans="1:3" ht="17" x14ac:dyDescent="0.2">
      <c r="A1" s="65" t="s">
        <v>80</v>
      </c>
      <c r="B1" s="65" t="s">
        <v>82</v>
      </c>
      <c r="C1" s="65" t="s">
        <v>81</v>
      </c>
    </row>
    <row r="2" spans="1:3" ht="16" x14ac:dyDescent="0.2">
      <c r="A2" s="66" t="s">
        <v>44</v>
      </c>
      <c r="B2" s="66">
        <v>100000</v>
      </c>
      <c r="C2" s="66"/>
    </row>
    <row r="3" spans="1:3" x14ac:dyDescent="0.2">
      <c r="A3" s="67" t="s">
        <v>39</v>
      </c>
      <c r="B3" s="67">
        <v>10000</v>
      </c>
      <c r="C3" s="66"/>
    </row>
    <row r="4" spans="1:3" x14ac:dyDescent="0.2">
      <c r="A4" s="67" t="s">
        <v>78</v>
      </c>
      <c r="B4" s="67">
        <v>1000</v>
      </c>
      <c r="C4" s="66"/>
    </row>
    <row r="5" spans="1:3" x14ac:dyDescent="0.2">
      <c r="A5" s="67" t="s">
        <v>40</v>
      </c>
      <c r="B5" s="67">
        <v>500</v>
      </c>
      <c r="C5" s="66"/>
    </row>
    <row r="6" spans="1:3" x14ac:dyDescent="0.2">
      <c r="A6" s="67" t="s">
        <v>79</v>
      </c>
      <c r="B6" s="67">
        <v>50</v>
      </c>
      <c r="C6" s="6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8af1b6e-ff54-45e2-88db-a21f393bc2f7" xsi:nil="true"/>
    <lcf76f155ced4ddcb4097134ff3c332f xmlns="6a020a38-ed68-459a-b8fe-9a0f27c30f7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CECF909C4638E4AAD71B77751C4902F" ma:contentTypeVersion="11" ma:contentTypeDescription="Create a new document." ma:contentTypeScope="" ma:versionID="28f781a3acea7029ecaadbd44cf488bd">
  <xsd:schema xmlns:xsd="http://www.w3.org/2001/XMLSchema" xmlns:xs="http://www.w3.org/2001/XMLSchema" xmlns:p="http://schemas.microsoft.com/office/2006/metadata/properties" xmlns:ns2="6a020a38-ed68-459a-b8fe-9a0f27c30f7d" xmlns:ns3="68af1b6e-ff54-45e2-88db-a21f393bc2f7" targetNamespace="http://schemas.microsoft.com/office/2006/metadata/properties" ma:root="true" ma:fieldsID="11f2e789c4e9e6da75587640b5a5bff2" ns2:_="" ns3:_="">
    <xsd:import namespace="6a020a38-ed68-459a-b8fe-9a0f27c30f7d"/>
    <xsd:import namespace="68af1b6e-ff54-45e2-88db-a21f393bc2f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020a38-ed68-459a-b8fe-9a0f27c30f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bc2283c9-5dc3-4342-a46e-d374fcd9782a"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af1b6e-ff54-45e2-88db-a21f393bc2f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fb3349c-cd55-4a31-81a9-2b1f7126e612}" ma:internalName="TaxCatchAll" ma:showField="CatchAllData" ma:web="68af1b6e-ff54-45e2-88db-a21f393bc2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AB138E-1D4E-439F-AC54-4A27AB91796D}">
  <ds:schemaRefs>
    <ds:schemaRef ds:uri="6a020a38-ed68-459a-b8fe-9a0f27c30f7d"/>
    <ds:schemaRef ds:uri="68af1b6e-ff54-45e2-88db-a21f393bc2f7"/>
    <ds:schemaRef ds:uri="http://www.w3.org/XML/1998/namespace"/>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252E172E-C2E4-4AA5-BB1D-8DBDE33A44E2}">
  <ds:schemaRefs>
    <ds:schemaRef ds:uri="http://schemas.microsoft.com/sharepoint/v3/contenttype/forms"/>
  </ds:schemaRefs>
</ds:datastoreItem>
</file>

<file path=customXml/itemProps3.xml><?xml version="1.0" encoding="utf-8"?>
<ds:datastoreItem xmlns:ds="http://schemas.openxmlformats.org/officeDocument/2006/customXml" ds:itemID="{1F8875B7-9C63-480A-931C-99B5DF7829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020a38-ed68-459a-b8fe-9a0f27c30f7d"/>
    <ds:schemaRef ds:uri="68af1b6e-ff54-45e2-88db-a21f393bc2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PPEL Template</vt:lpstr>
      <vt:lpstr>PPEL Example 1</vt:lpstr>
      <vt:lpstr>PPEL Example 2</vt:lpstr>
      <vt:lpstr>PPEL Example 3</vt:lpstr>
      <vt:lpstr>Environment Options</vt:lpstr>
    </vt:vector>
  </TitlesOfParts>
  <Manager/>
  <Company>JPL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Biancone, Jean M (2745-Affiliate)</dc:creator>
  <cp:keywords/>
  <dc:description/>
  <cp:lastModifiedBy>Hinzer, Akemi A (US 353D)</cp:lastModifiedBy>
  <dcterms:created xsi:type="dcterms:W3CDTF">2019-08-10T19:13:57Z</dcterms:created>
  <dcterms:modified xsi:type="dcterms:W3CDTF">2026-03-10T21:12:15Z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0x0101007CECF909C4638E4AAD71B77751C4902F</vt:lpwstr>
  </property>
  <property fmtid="{D5CDD505-2E9C-101B-9397-08002B2CF9AE}" pid="3" name="_dlc_DocIdItemGuid">
    <vt:lpwstr>ef3a04d3-5424-475d-9513-0b2f0de2fcdb</vt:lpwstr>
  </property>
  <property fmtid="{D5CDD505-2E9C-101B-9397-08002B2CF9AE}" pid="4" name="MediaServiceImageTags">
    <vt:lpwstr/>
  </property>
</Properties>
</file>